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mc:AlternateContent xmlns:mc="http://schemas.openxmlformats.org/markup-compatibility/2006">
    <mc:Choice Requires="x15">
      <x15ac:absPath xmlns:x15ac="http://schemas.microsoft.com/office/spreadsheetml/2010/11/ac" url="D:\OneDrive - Universidade do Minho\Formação_IEFP\excel avaliação alunos\"/>
    </mc:Choice>
  </mc:AlternateContent>
  <xr:revisionPtr revIDLastSave="0" documentId="13_ncr:1_{65499885-48D4-4A64-BCB1-3D6A79F599B4}" xr6:coauthVersionLast="41" xr6:coauthVersionMax="41" xr10:uidLastSave="{00000000-0000-0000-0000-000000000000}"/>
  <bookViews>
    <workbookView xWindow="-120" yWindow="-120" windowWidth="20730" windowHeight="11310" tabRatio="833" activeTab="3" xr2:uid="{00000000-000D-0000-FFFF-FFFF00000000}"/>
  </bookViews>
  <sheets>
    <sheet name="Como usar este modelo" sheetId="9" r:id="rId1"/>
    <sheet name="Lista de Estudantes" sheetId="5" r:id="rId2"/>
    <sheet name="dezembro" sheetId="17" r:id="rId3"/>
    <sheet name="agosto" sheetId="4" r:id="rId4"/>
    <sheet name="setembro" sheetId="14" r:id="rId5"/>
    <sheet name="outubro" sheetId="15" r:id="rId6"/>
    <sheet name="novembro" sheetId="16" r:id="rId7"/>
    <sheet name="janeiro" sheetId="18" r:id="rId8"/>
    <sheet name="fevereiro" sheetId="8" r:id="rId9"/>
    <sheet name="março" sheetId="19" r:id="rId10"/>
    <sheet name="abril" sheetId="20" r:id="rId11"/>
    <sheet name="maio" sheetId="21" r:id="rId12"/>
    <sheet name="junho" sheetId="22" r:id="rId13"/>
    <sheet name="julho" sheetId="23" r:id="rId14"/>
    <sheet name="Rel. de Presenças do Estudante" sheetId="6" r:id="rId15"/>
  </sheets>
  <definedNames>
    <definedName name="CalendárioAnual">agosto!$AM$1</definedName>
    <definedName name="Código1">agosto!$D$3</definedName>
    <definedName name="Código1Texto">agosto!$E$3</definedName>
    <definedName name="Código2">agosto!$H$3</definedName>
    <definedName name="Código2Texto">agosto!$I$3</definedName>
    <definedName name="Código3">agosto!$L$3</definedName>
    <definedName name="Código3Texto">agosto!$M$3</definedName>
    <definedName name="Código4">agosto!$P$3</definedName>
    <definedName name="Código4Texto">agosto!$Q$3</definedName>
    <definedName name="Código5">agosto!$T$3</definedName>
    <definedName name="Código5Texto">agosto!$U$3</definedName>
    <definedName name="IDDeAluno">ListaDeAlunos[ID de Estudante]</definedName>
    <definedName name="Imprimir_Títulos" localSheetId="1">'Lista de Estudantes'!$A:$C,'Lista de Estudantes'!$3:$3</definedName>
    <definedName name="NomeDoAluno">ListaDeAlunos[Nome Completo do Estudante]</definedName>
    <definedName name="ProcurarAluno">'Rel. de Presenças do Estudante'!$B$4</definedName>
    <definedName name="TextoColorKey">agosto!$C$3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14" i="4" l="1"/>
  <c r="U3" i="17"/>
  <c r="AI12" i="17"/>
  <c r="AI13" i="17"/>
  <c r="AI14" i="17"/>
  <c r="AI15" i="17"/>
  <c r="AI16" i="17"/>
  <c r="AI17" i="17"/>
  <c r="AI18" i="17"/>
  <c r="AJ12" i="17"/>
  <c r="AJ13" i="17"/>
  <c r="AJ14" i="17"/>
  <c r="AJ15" i="17"/>
  <c r="AJ16" i="17"/>
  <c r="AJ17" i="17"/>
  <c r="AJ18" i="17"/>
  <c r="AK12" i="17"/>
  <c r="AK13" i="17"/>
  <c r="AK14" i="17"/>
  <c r="AK15" i="17"/>
  <c r="AK16" i="17"/>
  <c r="AK17" i="17"/>
  <c r="AK18" i="17"/>
  <c r="AL12" i="17"/>
  <c r="AL13" i="17"/>
  <c r="AL14" i="17"/>
  <c r="AL15" i="17"/>
  <c r="AL16" i="17"/>
  <c r="AL17" i="17"/>
  <c r="AL18" i="17"/>
  <c r="D5" i="17"/>
  <c r="AI12" i="4"/>
  <c r="AI13" i="4"/>
  <c r="AI14" i="4"/>
  <c r="AI15" i="4"/>
  <c r="AI16" i="4"/>
  <c r="AI17" i="4"/>
  <c r="AI18" i="4"/>
  <c r="AJ12" i="4"/>
  <c r="AJ13" i="4"/>
  <c r="AJ14" i="4"/>
  <c r="AJ15" i="4"/>
  <c r="AJ16" i="4"/>
  <c r="AJ17" i="4"/>
  <c r="AJ18" i="4"/>
  <c r="AK12" i="4"/>
  <c r="AK13" i="4"/>
  <c r="AK14" i="4"/>
  <c r="AK15" i="4"/>
  <c r="AK16" i="4"/>
  <c r="AK17" i="4"/>
  <c r="AK18" i="4"/>
  <c r="AL12" i="4"/>
  <c r="AL13" i="4"/>
  <c r="AL14" i="4"/>
  <c r="AL15" i="4"/>
  <c r="AL16" i="4"/>
  <c r="AL17" i="4"/>
  <c r="AL18" i="4"/>
  <c r="A1" i="6" l="1"/>
  <c r="U12" i="6" l="1"/>
  <c r="T12" i="6"/>
  <c r="Q12" i="6"/>
  <c r="P12" i="6"/>
  <c r="L12" i="6"/>
  <c r="K12" i="6"/>
  <c r="H12" i="6"/>
  <c r="G12" i="6"/>
  <c r="D12" i="6"/>
  <c r="C12" i="6"/>
  <c r="B12" i="6"/>
  <c r="AH5" i="23"/>
  <c r="AG5" i="23"/>
  <c r="AF5" i="23"/>
  <c r="AE5" i="23"/>
  <c r="AD5" i="23"/>
  <c r="AC5" i="23"/>
  <c r="AB5" i="23"/>
  <c r="AA5" i="23"/>
  <c r="Z5" i="23"/>
  <c r="Y5" i="23"/>
  <c r="X5" i="23"/>
  <c r="W5" i="23"/>
  <c r="V5" i="23"/>
  <c r="U5" i="23"/>
  <c r="T5" i="23"/>
  <c r="S5" i="23"/>
  <c r="R5" i="23"/>
  <c r="Q5" i="23"/>
  <c r="P5" i="23"/>
  <c r="O5" i="23"/>
  <c r="N5" i="23"/>
  <c r="M5" i="23"/>
  <c r="L5" i="23"/>
  <c r="K5" i="23"/>
  <c r="J5" i="23"/>
  <c r="I5" i="23"/>
  <c r="H5" i="23"/>
  <c r="G5" i="23"/>
  <c r="F5" i="23"/>
  <c r="E5" i="23"/>
  <c r="D5" i="23"/>
  <c r="AG5" i="22"/>
  <c r="AF5" i="22"/>
  <c r="AE5" i="22"/>
  <c r="AD5" i="22"/>
  <c r="AC5" i="22"/>
  <c r="AB5" i="22"/>
  <c r="AA5" i="22"/>
  <c r="Z5" i="22"/>
  <c r="Y5" i="22"/>
  <c r="X5" i="22"/>
  <c r="W5" i="22"/>
  <c r="V5" i="22"/>
  <c r="U5" i="22"/>
  <c r="T5" i="22"/>
  <c r="S5" i="22"/>
  <c r="R5" i="22"/>
  <c r="Q5" i="22"/>
  <c r="P5" i="22"/>
  <c r="O5" i="22"/>
  <c r="N5" i="22"/>
  <c r="M5" i="22"/>
  <c r="L5" i="22"/>
  <c r="K5" i="22"/>
  <c r="J5" i="22"/>
  <c r="I5" i="22"/>
  <c r="H5" i="22"/>
  <c r="G5" i="22"/>
  <c r="F5" i="22"/>
  <c r="E5" i="22"/>
  <c r="D5" i="22"/>
  <c r="AH5" i="21"/>
  <c r="AG5" i="21"/>
  <c r="AF5" i="21"/>
  <c r="AE5" i="21"/>
  <c r="AD5" i="21"/>
  <c r="AC5" i="21"/>
  <c r="AB5" i="21"/>
  <c r="AA5" i="21"/>
  <c r="Z5" i="21"/>
  <c r="Y5" i="21"/>
  <c r="X5" i="21"/>
  <c r="W5" i="21"/>
  <c r="V5" i="21"/>
  <c r="U5" i="21"/>
  <c r="T5" i="21"/>
  <c r="S5" i="21"/>
  <c r="R5" i="21"/>
  <c r="Q5" i="21"/>
  <c r="P5" i="21"/>
  <c r="O5" i="21"/>
  <c r="N5" i="21"/>
  <c r="M5" i="21"/>
  <c r="L5" i="21"/>
  <c r="K5" i="21"/>
  <c r="J5" i="21"/>
  <c r="I5" i="21"/>
  <c r="H5" i="21"/>
  <c r="G5" i="21"/>
  <c r="F5" i="21"/>
  <c r="E5" i="21"/>
  <c r="D5" i="21"/>
  <c r="AG5" i="20"/>
  <c r="AF5" i="20"/>
  <c r="AE5" i="20"/>
  <c r="AD5" i="20"/>
  <c r="AC5" i="20"/>
  <c r="AB5" i="20"/>
  <c r="AA5" i="20"/>
  <c r="Z5" i="20"/>
  <c r="Y5" i="20"/>
  <c r="X5" i="20"/>
  <c r="W5" i="20"/>
  <c r="V5" i="20"/>
  <c r="U5" i="20"/>
  <c r="T5" i="20"/>
  <c r="S5" i="20"/>
  <c r="R5" i="20"/>
  <c r="Q5" i="20"/>
  <c r="P5" i="20"/>
  <c r="O5" i="20"/>
  <c r="N5" i="20"/>
  <c r="M5" i="20"/>
  <c r="L5" i="20"/>
  <c r="K5" i="20"/>
  <c r="J5" i="20"/>
  <c r="I5" i="20"/>
  <c r="H5" i="20"/>
  <c r="G5" i="20"/>
  <c r="F5" i="20"/>
  <c r="E5" i="20"/>
  <c r="D5" i="20"/>
  <c r="AH5" i="19"/>
  <c r="AG5" i="19"/>
  <c r="AF5" i="19"/>
  <c r="AE5" i="19"/>
  <c r="AD5" i="19"/>
  <c r="AC5" i="19"/>
  <c r="AB5" i="19"/>
  <c r="AA5" i="19"/>
  <c r="Z5" i="19"/>
  <c r="Y5" i="19"/>
  <c r="X5" i="19"/>
  <c r="W5" i="19"/>
  <c r="V5" i="19"/>
  <c r="U5" i="19"/>
  <c r="T5" i="19"/>
  <c r="S5" i="19"/>
  <c r="R5" i="19"/>
  <c r="Q5" i="19"/>
  <c r="P5" i="19"/>
  <c r="O5" i="19"/>
  <c r="N5" i="19"/>
  <c r="M5" i="19"/>
  <c r="L5" i="19"/>
  <c r="K5" i="19"/>
  <c r="J5" i="19"/>
  <c r="I5" i="19"/>
  <c r="H5" i="19"/>
  <c r="G5" i="19"/>
  <c r="F5" i="19"/>
  <c r="E5" i="19"/>
  <c r="D5" i="19"/>
  <c r="AF5" i="8"/>
  <c r="AE5" i="8"/>
  <c r="AD5" i="8"/>
  <c r="AC5" i="8"/>
  <c r="AB5" i="8"/>
  <c r="AA5" i="8"/>
  <c r="Z5" i="8"/>
  <c r="Y5" i="8"/>
  <c r="X5" i="8"/>
  <c r="W5" i="8"/>
  <c r="V5" i="8"/>
  <c r="U5" i="8"/>
  <c r="T5" i="8"/>
  <c r="S5" i="8"/>
  <c r="R5" i="8"/>
  <c r="Q5" i="8"/>
  <c r="P5" i="8"/>
  <c r="O5" i="8"/>
  <c r="N5" i="8"/>
  <c r="M5" i="8"/>
  <c r="L5" i="8"/>
  <c r="K5" i="8"/>
  <c r="J5" i="8"/>
  <c r="I5" i="8"/>
  <c r="H5" i="8"/>
  <c r="G5" i="8"/>
  <c r="F5" i="8"/>
  <c r="E5" i="8"/>
  <c r="D5" i="8"/>
  <c r="AH5" i="18"/>
  <c r="AG5" i="18"/>
  <c r="AF5" i="18"/>
  <c r="AE5" i="18"/>
  <c r="AD5" i="18"/>
  <c r="AC5" i="18"/>
  <c r="AB5" i="18"/>
  <c r="AA5" i="18"/>
  <c r="Z5" i="18"/>
  <c r="Y5" i="18"/>
  <c r="X5" i="18"/>
  <c r="W5" i="18"/>
  <c r="V5" i="18"/>
  <c r="U5" i="18"/>
  <c r="T5" i="18"/>
  <c r="S5" i="18"/>
  <c r="R5" i="18"/>
  <c r="Q5" i="18"/>
  <c r="P5" i="18"/>
  <c r="O5" i="18"/>
  <c r="N5" i="18"/>
  <c r="M5" i="18"/>
  <c r="L5" i="18"/>
  <c r="K5" i="18"/>
  <c r="J5" i="18"/>
  <c r="I5" i="18"/>
  <c r="H5" i="18"/>
  <c r="G5" i="18"/>
  <c r="F5" i="18"/>
  <c r="E5" i="18"/>
  <c r="D5" i="18"/>
  <c r="AH5" i="17"/>
  <c r="AG5" i="17"/>
  <c r="AF5" i="17"/>
  <c r="AE5" i="17"/>
  <c r="AD5" i="17"/>
  <c r="AC5" i="17"/>
  <c r="AB5" i="17"/>
  <c r="AA5" i="17"/>
  <c r="Z5" i="17"/>
  <c r="Y5" i="17"/>
  <c r="X5" i="17"/>
  <c r="W5" i="17"/>
  <c r="V5" i="17"/>
  <c r="U5" i="17"/>
  <c r="T5" i="17"/>
  <c r="S5" i="17"/>
  <c r="R5" i="17"/>
  <c r="Q5" i="17"/>
  <c r="P5" i="17"/>
  <c r="O5" i="17"/>
  <c r="N5" i="17"/>
  <c r="M5" i="17"/>
  <c r="L5" i="17"/>
  <c r="K5" i="17"/>
  <c r="J5" i="17"/>
  <c r="I5" i="17"/>
  <c r="H5" i="17"/>
  <c r="G5" i="17"/>
  <c r="F5" i="17"/>
  <c r="E5" i="17"/>
  <c r="AG5" i="16"/>
  <c r="AF5" i="16"/>
  <c r="AE5" i="16"/>
  <c r="AD5" i="16"/>
  <c r="AC5" i="16"/>
  <c r="AB5" i="16"/>
  <c r="AA5" i="16"/>
  <c r="Z5" i="16"/>
  <c r="Y5" i="16"/>
  <c r="X5" i="16"/>
  <c r="W5" i="16"/>
  <c r="V5" i="16"/>
  <c r="U5" i="16"/>
  <c r="T5" i="16"/>
  <c r="S5" i="16"/>
  <c r="R5" i="16"/>
  <c r="Q5" i="16"/>
  <c r="P5" i="16"/>
  <c r="O5" i="16"/>
  <c r="N5" i="16"/>
  <c r="M5" i="16"/>
  <c r="L5" i="16"/>
  <c r="K5" i="16"/>
  <c r="J5" i="16"/>
  <c r="I5" i="16"/>
  <c r="H5" i="16"/>
  <c r="G5" i="16"/>
  <c r="F5" i="16"/>
  <c r="E5" i="16"/>
  <c r="D5" i="16"/>
  <c r="AH5" i="15"/>
  <c r="AG5" i="15"/>
  <c r="AF5" i="15"/>
  <c r="AE5" i="15"/>
  <c r="AD5" i="15"/>
  <c r="AC5" i="15"/>
  <c r="AB5" i="15"/>
  <c r="AA5" i="15"/>
  <c r="Z5" i="15"/>
  <c r="Y5" i="15"/>
  <c r="X5" i="15"/>
  <c r="W5" i="15"/>
  <c r="V5" i="15"/>
  <c r="U5" i="15"/>
  <c r="T5" i="15"/>
  <c r="S5" i="15"/>
  <c r="R5" i="15"/>
  <c r="Q5" i="15"/>
  <c r="P5" i="15"/>
  <c r="O5" i="15"/>
  <c r="N5" i="15"/>
  <c r="M5" i="15"/>
  <c r="L5" i="15"/>
  <c r="K5" i="15"/>
  <c r="J5" i="15"/>
  <c r="I5" i="15"/>
  <c r="H5" i="15"/>
  <c r="G5" i="15"/>
  <c r="F5" i="15"/>
  <c r="E5" i="15"/>
  <c r="D5" i="15"/>
  <c r="AG5" i="14"/>
  <c r="AF5" i="14"/>
  <c r="AE5" i="14"/>
  <c r="AD5" i="14"/>
  <c r="AC5" i="14"/>
  <c r="AB5" i="14"/>
  <c r="AA5" i="14"/>
  <c r="Z5" i="14"/>
  <c r="Y5" i="14"/>
  <c r="X5" i="14"/>
  <c r="W5" i="14"/>
  <c r="V5" i="14"/>
  <c r="U5" i="14"/>
  <c r="T5" i="14"/>
  <c r="S5" i="14"/>
  <c r="R5" i="14"/>
  <c r="Q5" i="14"/>
  <c r="P5" i="14"/>
  <c r="O5" i="14"/>
  <c r="N5" i="14"/>
  <c r="M5" i="14"/>
  <c r="L5" i="14"/>
  <c r="K5" i="14"/>
  <c r="J5" i="14"/>
  <c r="I5" i="14"/>
  <c r="H5" i="14"/>
  <c r="G5" i="14"/>
  <c r="F5" i="14"/>
  <c r="E5" i="14"/>
  <c r="D5" i="14"/>
  <c r="AH5" i="4"/>
  <c r="AG5" i="4"/>
  <c r="AF5" i="4"/>
  <c r="AE5" i="4"/>
  <c r="AD5" i="4"/>
  <c r="AC5" i="4"/>
  <c r="AB5" i="4"/>
  <c r="AA5" i="4"/>
  <c r="Z5" i="4"/>
  <c r="Y5" i="4"/>
  <c r="X5" i="4"/>
  <c r="W5" i="4"/>
  <c r="V5" i="4"/>
  <c r="U5" i="4"/>
  <c r="T5" i="4"/>
  <c r="S5" i="4"/>
  <c r="R5" i="4"/>
  <c r="Q5" i="4"/>
  <c r="P5" i="4"/>
  <c r="O5" i="4"/>
  <c r="N5" i="4"/>
  <c r="M5" i="4"/>
  <c r="L5" i="4"/>
  <c r="K5" i="4"/>
  <c r="J5" i="4"/>
  <c r="I5" i="4"/>
  <c r="H5" i="4"/>
  <c r="G5" i="4"/>
  <c r="F5" i="4"/>
  <c r="E5" i="4"/>
  <c r="D5" i="4"/>
  <c r="C11" i="23"/>
  <c r="C10" i="23"/>
  <c r="C9" i="23"/>
  <c r="C8" i="23"/>
  <c r="C7" i="23"/>
  <c r="C11" i="22"/>
  <c r="C10" i="22"/>
  <c r="C9" i="22"/>
  <c r="C8" i="22"/>
  <c r="C7" i="22"/>
  <c r="C11" i="21"/>
  <c r="C10" i="21"/>
  <c r="C9" i="21"/>
  <c r="C8" i="21"/>
  <c r="C7" i="21"/>
  <c r="C11" i="20"/>
  <c r="C10" i="20"/>
  <c r="C9" i="20"/>
  <c r="C8" i="20"/>
  <c r="C7" i="20"/>
  <c r="C11" i="19"/>
  <c r="C10" i="19"/>
  <c r="C9" i="19"/>
  <c r="C8" i="19"/>
  <c r="C7" i="19"/>
  <c r="C11" i="8"/>
  <c r="C10" i="8"/>
  <c r="C9" i="8"/>
  <c r="C8" i="8"/>
  <c r="C7" i="8"/>
  <c r="C11" i="18"/>
  <c r="C10" i="18"/>
  <c r="C9" i="18"/>
  <c r="C8" i="18"/>
  <c r="C7" i="18"/>
  <c r="C11" i="16"/>
  <c r="C10" i="16"/>
  <c r="C9" i="16"/>
  <c r="C8" i="16"/>
  <c r="C7" i="16"/>
  <c r="C11" i="15" l="1"/>
  <c r="C10" i="15"/>
  <c r="C9" i="15"/>
  <c r="C8" i="15"/>
  <c r="C7" i="15"/>
  <c r="C11" i="14"/>
  <c r="C10" i="14"/>
  <c r="C9" i="14"/>
  <c r="C8" i="14"/>
  <c r="C7" i="14"/>
  <c r="S8" i="5" l="1"/>
  <c r="S7" i="5"/>
  <c r="S6" i="5"/>
  <c r="S5" i="5"/>
  <c r="S4" i="5"/>
  <c r="AG39" i="6" l="1"/>
  <c r="AF39" i="6"/>
  <c r="AE39" i="6"/>
  <c r="AD39" i="6"/>
  <c r="AC39" i="6"/>
  <c r="AB39" i="6"/>
  <c r="AA39" i="6"/>
  <c r="Z39" i="6"/>
  <c r="Y39" i="6"/>
  <c r="X39" i="6"/>
  <c r="W39" i="6"/>
  <c r="V39" i="6"/>
  <c r="U39" i="6"/>
  <c r="T39" i="6"/>
  <c r="S39" i="6"/>
  <c r="R39" i="6"/>
  <c r="Q39" i="6"/>
  <c r="P39" i="6"/>
  <c r="O39" i="6"/>
  <c r="N39" i="6"/>
  <c r="M39" i="6"/>
  <c r="L39" i="6"/>
  <c r="K39" i="6"/>
  <c r="J39" i="6"/>
  <c r="I39" i="6"/>
  <c r="H39" i="6"/>
  <c r="G39" i="6"/>
  <c r="F39" i="6"/>
  <c r="E39" i="6"/>
  <c r="D39" i="6"/>
  <c r="C39" i="6"/>
  <c r="AF37" i="6"/>
  <c r="AE37" i="6"/>
  <c r="AD37" i="6"/>
  <c r="AC37" i="6"/>
  <c r="AB37" i="6"/>
  <c r="AA37" i="6"/>
  <c r="Z37" i="6"/>
  <c r="Y37" i="6"/>
  <c r="X37" i="6"/>
  <c r="W37" i="6"/>
  <c r="V37" i="6"/>
  <c r="U37" i="6"/>
  <c r="T37" i="6"/>
  <c r="S37" i="6"/>
  <c r="R37" i="6"/>
  <c r="Q37" i="6"/>
  <c r="P37" i="6"/>
  <c r="O37" i="6"/>
  <c r="N37" i="6"/>
  <c r="M37" i="6"/>
  <c r="L37" i="6"/>
  <c r="K37" i="6"/>
  <c r="J37" i="6"/>
  <c r="I37" i="6"/>
  <c r="H37" i="6"/>
  <c r="G37" i="6"/>
  <c r="F37" i="6"/>
  <c r="E37" i="6"/>
  <c r="D37" i="6"/>
  <c r="C37" i="6"/>
  <c r="AG35" i="6"/>
  <c r="AF35" i="6"/>
  <c r="AE35" i="6"/>
  <c r="AD35" i="6"/>
  <c r="AC35" i="6"/>
  <c r="AB35" i="6"/>
  <c r="AA35" i="6"/>
  <c r="Z35" i="6"/>
  <c r="Y35" i="6"/>
  <c r="X35" i="6"/>
  <c r="W35" i="6"/>
  <c r="V35" i="6"/>
  <c r="U35" i="6"/>
  <c r="T35" i="6"/>
  <c r="S35" i="6"/>
  <c r="R35" i="6"/>
  <c r="Q35" i="6"/>
  <c r="P35" i="6"/>
  <c r="O35" i="6"/>
  <c r="N35" i="6"/>
  <c r="M35" i="6"/>
  <c r="L35" i="6"/>
  <c r="K35" i="6"/>
  <c r="J35" i="6"/>
  <c r="I35" i="6"/>
  <c r="H35" i="6"/>
  <c r="G35" i="6"/>
  <c r="F35" i="6"/>
  <c r="E35" i="6"/>
  <c r="D35" i="6"/>
  <c r="C35" i="6"/>
  <c r="AF33" i="6"/>
  <c r="AE33" i="6"/>
  <c r="AD33" i="6"/>
  <c r="AC33" i="6"/>
  <c r="AB33" i="6"/>
  <c r="AA33" i="6"/>
  <c r="Z33" i="6"/>
  <c r="Y33" i="6"/>
  <c r="X33" i="6"/>
  <c r="W33" i="6"/>
  <c r="V33" i="6"/>
  <c r="U33" i="6"/>
  <c r="T33" i="6"/>
  <c r="S33" i="6"/>
  <c r="R33" i="6"/>
  <c r="Q33" i="6"/>
  <c r="P33" i="6"/>
  <c r="O33" i="6"/>
  <c r="N33" i="6"/>
  <c r="M33" i="6"/>
  <c r="L33" i="6"/>
  <c r="K33" i="6"/>
  <c r="J33" i="6"/>
  <c r="I33" i="6"/>
  <c r="H33" i="6"/>
  <c r="G33" i="6"/>
  <c r="F33" i="6"/>
  <c r="E33" i="6"/>
  <c r="D33" i="6"/>
  <c r="C33" i="6"/>
  <c r="AG31" i="6"/>
  <c r="AF31" i="6"/>
  <c r="AE31" i="6"/>
  <c r="AD31" i="6"/>
  <c r="AC31" i="6"/>
  <c r="AB31" i="6"/>
  <c r="AA31" i="6"/>
  <c r="Z31" i="6"/>
  <c r="Y31" i="6"/>
  <c r="X31" i="6"/>
  <c r="W31" i="6"/>
  <c r="V31" i="6"/>
  <c r="U31" i="6"/>
  <c r="T31" i="6"/>
  <c r="S31" i="6"/>
  <c r="R31" i="6"/>
  <c r="Q31" i="6"/>
  <c r="P31" i="6"/>
  <c r="O31" i="6"/>
  <c r="N31" i="6"/>
  <c r="M31" i="6"/>
  <c r="L31" i="6"/>
  <c r="K31" i="6"/>
  <c r="J31" i="6"/>
  <c r="I31" i="6"/>
  <c r="H31" i="6"/>
  <c r="G31" i="6"/>
  <c r="F31" i="6"/>
  <c r="E31" i="6"/>
  <c r="D31" i="6"/>
  <c r="C31" i="6"/>
  <c r="AG27" i="6"/>
  <c r="AF27" i="6"/>
  <c r="AE27" i="6"/>
  <c r="AD27" i="6"/>
  <c r="AC27" i="6"/>
  <c r="AB27" i="6"/>
  <c r="AA27" i="6"/>
  <c r="Z27" i="6"/>
  <c r="Y27" i="6"/>
  <c r="X27" i="6"/>
  <c r="W27" i="6"/>
  <c r="V27" i="6"/>
  <c r="U27" i="6"/>
  <c r="T27" i="6"/>
  <c r="S27" i="6"/>
  <c r="R27" i="6"/>
  <c r="Q27" i="6"/>
  <c r="P27" i="6"/>
  <c r="O27" i="6"/>
  <c r="N27" i="6"/>
  <c r="M27" i="6"/>
  <c r="L27" i="6"/>
  <c r="K27" i="6"/>
  <c r="J27" i="6"/>
  <c r="I27" i="6"/>
  <c r="H27" i="6"/>
  <c r="G27" i="6"/>
  <c r="F27" i="6"/>
  <c r="E27" i="6"/>
  <c r="D27" i="6"/>
  <c r="C27" i="6"/>
  <c r="AG25" i="6"/>
  <c r="AF25" i="6"/>
  <c r="AE25" i="6"/>
  <c r="AD25" i="6"/>
  <c r="AC25" i="6"/>
  <c r="AB25" i="6"/>
  <c r="AA25" i="6"/>
  <c r="Z25" i="6"/>
  <c r="Y25" i="6"/>
  <c r="X25" i="6"/>
  <c r="W25" i="6"/>
  <c r="V25" i="6"/>
  <c r="U25" i="6"/>
  <c r="T25" i="6"/>
  <c r="S25" i="6"/>
  <c r="R25" i="6"/>
  <c r="Q25" i="6"/>
  <c r="P25" i="6"/>
  <c r="O25" i="6"/>
  <c r="N25" i="6"/>
  <c r="M25" i="6"/>
  <c r="L25" i="6"/>
  <c r="K25" i="6"/>
  <c r="J25" i="6"/>
  <c r="I25" i="6"/>
  <c r="H25" i="6"/>
  <c r="G25" i="6"/>
  <c r="F25" i="6"/>
  <c r="E25" i="6"/>
  <c r="D25" i="6"/>
  <c r="C25" i="6"/>
  <c r="AF23" i="6"/>
  <c r="AE23" i="6"/>
  <c r="AD23" i="6"/>
  <c r="AC23" i="6"/>
  <c r="AB23" i="6"/>
  <c r="AA23" i="6"/>
  <c r="Z23" i="6"/>
  <c r="Y23" i="6"/>
  <c r="X23" i="6"/>
  <c r="W23" i="6"/>
  <c r="V23" i="6"/>
  <c r="U23" i="6"/>
  <c r="T23" i="6"/>
  <c r="S23" i="6"/>
  <c r="R23" i="6"/>
  <c r="Q23" i="6"/>
  <c r="P23" i="6"/>
  <c r="O23" i="6"/>
  <c r="N23" i="6"/>
  <c r="M23" i="6"/>
  <c r="L23" i="6"/>
  <c r="K23" i="6"/>
  <c r="J23" i="6"/>
  <c r="I23" i="6"/>
  <c r="H23" i="6"/>
  <c r="G23" i="6"/>
  <c r="F23" i="6"/>
  <c r="E23" i="6"/>
  <c r="D23" i="6"/>
  <c r="C23" i="6"/>
  <c r="AG21" i="6"/>
  <c r="AF21" i="6"/>
  <c r="AE21" i="6"/>
  <c r="AD21" i="6"/>
  <c r="AC21" i="6"/>
  <c r="AB21" i="6"/>
  <c r="AA21" i="6"/>
  <c r="Z21" i="6"/>
  <c r="Y21" i="6"/>
  <c r="X21" i="6"/>
  <c r="W21" i="6"/>
  <c r="V21" i="6"/>
  <c r="U21" i="6"/>
  <c r="T21" i="6"/>
  <c r="S21" i="6"/>
  <c r="R21" i="6"/>
  <c r="Q21" i="6"/>
  <c r="P21" i="6"/>
  <c r="O21" i="6"/>
  <c r="N21" i="6"/>
  <c r="M21" i="6"/>
  <c r="L21" i="6"/>
  <c r="K21" i="6"/>
  <c r="J21" i="6"/>
  <c r="I21" i="6"/>
  <c r="H21" i="6"/>
  <c r="G21" i="6"/>
  <c r="F21" i="6"/>
  <c r="E21" i="6"/>
  <c r="D21" i="6"/>
  <c r="C21" i="6"/>
  <c r="B5" i="23"/>
  <c r="B5" i="22"/>
  <c r="AF12" i="23"/>
  <c r="AE12" i="23"/>
  <c r="AD12" i="23"/>
  <c r="AC12" i="23"/>
  <c r="AB12" i="23"/>
  <c r="AA12" i="23"/>
  <c r="Z12" i="23"/>
  <c r="Y12" i="23"/>
  <c r="X12" i="23"/>
  <c r="W12" i="23"/>
  <c r="V12" i="23"/>
  <c r="U12" i="23"/>
  <c r="T12" i="23"/>
  <c r="S12" i="23"/>
  <c r="R12" i="23"/>
  <c r="Q12" i="23"/>
  <c r="P12" i="23"/>
  <c r="O12" i="23"/>
  <c r="N12" i="23"/>
  <c r="M12" i="23"/>
  <c r="L12" i="23"/>
  <c r="K12" i="23"/>
  <c r="J12" i="23"/>
  <c r="I12" i="23"/>
  <c r="H12" i="23"/>
  <c r="G12" i="23"/>
  <c r="F12" i="23"/>
  <c r="E12" i="23"/>
  <c r="D12" i="23"/>
  <c r="AL11" i="23"/>
  <c r="AK11" i="23"/>
  <c r="AJ11" i="23"/>
  <c r="AI11" i="23"/>
  <c r="AL10" i="23"/>
  <c r="AK10" i="23"/>
  <c r="AJ10" i="23"/>
  <c r="AI10" i="23"/>
  <c r="AL9" i="23"/>
  <c r="AK9" i="23"/>
  <c r="AJ9" i="23"/>
  <c r="AI9" i="23"/>
  <c r="AL8" i="23"/>
  <c r="AK8" i="23"/>
  <c r="AJ8" i="23"/>
  <c r="AI8" i="23"/>
  <c r="AL7" i="23"/>
  <c r="AK7" i="23"/>
  <c r="AK12" i="23" s="1"/>
  <c r="AJ7" i="23"/>
  <c r="AI7" i="23"/>
  <c r="AI12" i="23" s="1"/>
  <c r="U3" i="23"/>
  <c r="T3" i="23"/>
  <c r="Q3" i="23"/>
  <c r="P3" i="23"/>
  <c r="M3" i="23"/>
  <c r="L3" i="23"/>
  <c r="I3" i="23"/>
  <c r="H3" i="23"/>
  <c r="E3" i="23"/>
  <c r="D3" i="23"/>
  <c r="C3" i="23"/>
  <c r="AM1" i="23"/>
  <c r="AF12" i="22"/>
  <c r="AE12" i="22"/>
  <c r="AD12" i="22"/>
  <c r="AC12" i="22"/>
  <c r="AB12" i="22"/>
  <c r="AA12" i="22"/>
  <c r="Z12" i="22"/>
  <c r="Y12" i="22"/>
  <c r="X12" i="22"/>
  <c r="W12" i="22"/>
  <c r="V12" i="22"/>
  <c r="U12" i="22"/>
  <c r="T12" i="22"/>
  <c r="S12" i="22"/>
  <c r="R12" i="22"/>
  <c r="Q12" i="22"/>
  <c r="P12" i="22"/>
  <c r="O12" i="22"/>
  <c r="N12" i="22"/>
  <c r="M12" i="22"/>
  <c r="L12" i="22"/>
  <c r="K12" i="22"/>
  <c r="J12" i="22"/>
  <c r="I12" i="22"/>
  <c r="H12" i="22"/>
  <c r="G12" i="22"/>
  <c r="F12" i="22"/>
  <c r="E12" i="22"/>
  <c r="D12" i="22"/>
  <c r="AL11" i="22"/>
  <c r="AK11" i="22"/>
  <c r="AJ11" i="22"/>
  <c r="AI11" i="22"/>
  <c r="AL10" i="22"/>
  <c r="AK10" i="22"/>
  <c r="AJ10" i="22"/>
  <c r="AI10" i="22"/>
  <c r="AL9" i="22"/>
  <c r="AK9" i="22"/>
  <c r="AJ9" i="22"/>
  <c r="AI9" i="22"/>
  <c r="AL8" i="22"/>
  <c r="AK8" i="22"/>
  <c r="AJ8" i="22"/>
  <c r="AI8" i="22"/>
  <c r="AL7" i="22"/>
  <c r="AK7" i="22"/>
  <c r="AK12" i="22" s="1"/>
  <c r="AJ7" i="22"/>
  <c r="AI7" i="22"/>
  <c r="AI12" i="22" s="1"/>
  <c r="U3" i="22"/>
  <c r="T3" i="22"/>
  <c r="Q3" i="22"/>
  <c r="P3" i="22"/>
  <c r="M3" i="22"/>
  <c r="L3" i="22"/>
  <c r="I3" i="22"/>
  <c r="H3" i="22"/>
  <c r="E3" i="22"/>
  <c r="D3" i="22"/>
  <c r="C3" i="22"/>
  <c r="AM1" i="22"/>
  <c r="B5" i="21"/>
  <c r="B5" i="20"/>
  <c r="AF12" i="21"/>
  <c r="AE12" i="21"/>
  <c r="AD12" i="21"/>
  <c r="AC12" i="21"/>
  <c r="AB12" i="21"/>
  <c r="AA12" i="21"/>
  <c r="Z12" i="21"/>
  <c r="Y12" i="21"/>
  <c r="X12" i="21"/>
  <c r="W12" i="21"/>
  <c r="V12" i="21"/>
  <c r="U12" i="21"/>
  <c r="T12" i="21"/>
  <c r="S12" i="21"/>
  <c r="R12" i="21"/>
  <c r="Q12" i="21"/>
  <c r="P12" i="21"/>
  <c r="O12" i="21"/>
  <c r="N12" i="21"/>
  <c r="M12" i="21"/>
  <c r="L12" i="21"/>
  <c r="K12" i="21"/>
  <c r="J12" i="21"/>
  <c r="I12" i="21"/>
  <c r="H12" i="21"/>
  <c r="G12" i="21"/>
  <c r="F12" i="21"/>
  <c r="E12" i="21"/>
  <c r="D12" i="21"/>
  <c r="AL11" i="21"/>
  <c r="AK11" i="21"/>
  <c r="AJ11" i="21"/>
  <c r="AI11" i="21"/>
  <c r="AL10" i="21"/>
  <c r="AK10" i="21"/>
  <c r="AJ10" i="21"/>
  <c r="AI10" i="21"/>
  <c r="AL9" i="21"/>
  <c r="AK9" i="21"/>
  <c r="AJ9" i="21"/>
  <c r="AI9" i="21"/>
  <c r="AL8" i="21"/>
  <c r="AK8" i="21"/>
  <c r="AJ8" i="21"/>
  <c r="AI8" i="21"/>
  <c r="AL7" i="21"/>
  <c r="AL12" i="21" s="1"/>
  <c r="AK7" i="21"/>
  <c r="AK12" i="21" s="1"/>
  <c r="AJ7" i="21"/>
  <c r="AI7" i="21"/>
  <c r="AI12" i="21" s="1"/>
  <c r="U3" i="21"/>
  <c r="T3" i="21"/>
  <c r="Q3" i="21"/>
  <c r="P3" i="21"/>
  <c r="M3" i="21"/>
  <c r="L3" i="21"/>
  <c r="I3" i="21"/>
  <c r="H3" i="21"/>
  <c r="E3" i="21"/>
  <c r="D3" i="21"/>
  <c r="C3" i="21"/>
  <c r="AM1" i="21"/>
  <c r="AF12" i="20"/>
  <c r="AE12" i="20"/>
  <c r="AD12" i="20"/>
  <c r="AC12" i="20"/>
  <c r="AB12" i="20"/>
  <c r="AA12" i="20"/>
  <c r="Z12" i="20"/>
  <c r="Y12" i="20"/>
  <c r="X12" i="20"/>
  <c r="W12" i="20"/>
  <c r="V12" i="20"/>
  <c r="U12" i="20"/>
  <c r="T12" i="20"/>
  <c r="S12" i="20"/>
  <c r="R12" i="20"/>
  <c r="Q12" i="20"/>
  <c r="P12" i="20"/>
  <c r="O12" i="20"/>
  <c r="N12" i="20"/>
  <c r="M12" i="20"/>
  <c r="L12" i="20"/>
  <c r="K12" i="20"/>
  <c r="J12" i="20"/>
  <c r="I12" i="20"/>
  <c r="H12" i="20"/>
  <c r="G12" i="20"/>
  <c r="F12" i="20"/>
  <c r="E12" i="20"/>
  <c r="D12" i="20"/>
  <c r="AL11" i="20"/>
  <c r="AK11" i="20"/>
  <c r="AJ11" i="20"/>
  <c r="AI11" i="20"/>
  <c r="AL10" i="20"/>
  <c r="AK10" i="20"/>
  <c r="AJ10" i="20"/>
  <c r="AI10" i="20"/>
  <c r="AL9" i="20"/>
  <c r="AK9" i="20"/>
  <c r="AJ9" i="20"/>
  <c r="AI9" i="20"/>
  <c r="AL8" i="20"/>
  <c r="AK8" i="20"/>
  <c r="AJ8" i="20"/>
  <c r="AI8" i="20"/>
  <c r="AL7" i="20"/>
  <c r="AL12" i="20" s="1"/>
  <c r="AK7" i="20"/>
  <c r="AK12" i="20" s="1"/>
  <c r="AJ7" i="20"/>
  <c r="AI7" i="20"/>
  <c r="AI12" i="20" s="1"/>
  <c r="U3" i="20"/>
  <c r="T3" i="20"/>
  <c r="Q3" i="20"/>
  <c r="P3" i="20"/>
  <c r="M3" i="20"/>
  <c r="L3" i="20"/>
  <c r="I3" i="20"/>
  <c r="H3" i="20"/>
  <c r="E3" i="20"/>
  <c r="D3" i="20"/>
  <c r="C3" i="20"/>
  <c r="AM1" i="20"/>
  <c r="B5" i="19"/>
  <c r="AF12" i="19"/>
  <c r="AE12" i="19"/>
  <c r="AD12" i="19"/>
  <c r="AC12" i="19"/>
  <c r="AB12" i="19"/>
  <c r="AA12" i="19"/>
  <c r="Z12" i="19"/>
  <c r="Y12" i="19"/>
  <c r="X12" i="19"/>
  <c r="W12" i="19"/>
  <c r="V12" i="19"/>
  <c r="U12" i="19"/>
  <c r="T12" i="19"/>
  <c r="S12" i="19"/>
  <c r="R12" i="19"/>
  <c r="Q12" i="19"/>
  <c r="P12" i="19"/>
  <c r="O12" i="19"/>
  <c r="N12" i="19"/>
  <c r="M12" i="19"/>
  <c r="L12" i="19"/>
  <c r="K12" i="19"/>
  <c r="J12" i="19"/>
  <c r="I12" i="19"/>
  <c r="H12" i="19"/>
  <c r="G12" i="19"/>
  <c r="F12" i="19"/>
  <c r="E12" i="19"/>
  <c r="D12" i="19"/>
  <c r="AL11" i="19"/>
  <c r="AK11" i="19"/>
  <c r="AJ11" i="19"/>
  <c r="AI11" i="19"/>
  <c r="AL10" i="19"/>
  <c r="AK10" i="19"/>
  <c r="AJ10" i="19"/>
  <c r="AI10" i="19"/>
  <c r="AL9" i="19"/>
  <c r="AK9" i="19"/>
  <c r="AJ9" i="19"/>
  <c r="AI9" i="19"/>
  <c r="AL8" i="19"/>
  <c r="AK8" i="19"/>
  <c r="AJ8" i="19"/>
  <c r="AI8" i="19"/>
  <c r="AL7" i="19"/>
  <c r="AL12" i="19" s="1"/>
  <c r="AK7" i="19"/>
  <c r="AK12" i="19" s="1"/>
  <c r="AJ7" i="19"/>
  <c r="AI7" i="19"/>
  <c r="AI12" i="19" s="1"/>
  <c r="U3" i="19"/>
  <c r="T3" i="19"/>
  <c r="Q3" i="19"/>
  <c r="P3" i="19"/>
  <c r="M3" i="19"/>
  <c r="L3" i="19"/>
  <c r="I3" i="19"/>
  <c r="H3" i="19"/>
  <c r="E3" i="19"/>
  <c r="D3" i="19"/>
  <c r="C3" i="19"/>
  <c r="AM1" i="19"/>
  <c r="B5" i="17"/>
  <c r="B5" i="16"/>
  <c r="B5" i="15"/>
  <c r="B5" i="18"/>
  <c r="AF12" i="18"/>
  <c r="AE12" i="18"/>
  <c r="AD12" i="18"/>
  <c r="AC12" i="18"/>
  <c r="AB12" i="18"/>
  <c r="AA12" i="18"/>
  <c r="Z12" i="18"/>
  <c r="Y12" i="18"/>
  <c r="X12" i="18"/>
  <c r="W12" i="18"/>
  <c r="V12" i="18"/>
  <c r="U12" i="18"/>
  <c r="T12" i="18"/>
  <c r="S12" i="18"/>
  <c r="R12" i="18"/>
  <c r="Q12" i="18"/>
  <c r="P12" i="18"/>
  <c r="O12" i="18"/>
  <c r="N12" i="18"/>
  <c r="M12" i="18"/>
  <c r="L12" i="18"/>
  <c r="K12" i="18"/>
  <c r="J12" i="18"/>
  <c r="I12" i="18"/>
  <c r="H12" i="18"/>
  <c r="G12" i="18"/>
  <c r="F12" i="18"/>
  <c r="E12" i="18"/>
  <c r="D12" i="18"/>
  <c r="AL11" i="18"/>
  <c r="AK11" i="18"/>
  <c r="AJ11" i="18"/>
  <c r="AI11" i="18"/>
  <c r="AL10" i="18"/>
  <c r="AK10" i="18"/>
  <c r="AJ10" i="18"/>
  <c r="AI10" i="18"/>
  <c r="AL9" i="18"/>
  <c r="AK9" i="18"/>
  <c r="AJ9" i="18"/>
  <c r="AI9" i="18"/>
  <c r="AL8" i="18"/>
  <c r="AK8" i="18"/>
  <c r="AJ8" i="18"/>
  <c r="AI8" i="18"/>
  <c r="AL7" i="18"/>
  <c r="AK7" i="18"/>
  <c r="AK12" i="18" s="1"/>
  <c r="AJ7" i="18"/>
  <c r="AI7" i="18"/>
  <c r="AI12" i="18" s="1"/>
  <c r="U3" i="18"/>
  <c r="T3" i="18"/>
  <c r="Q3" i="18"/>
  <c r="P3" i="18"/>
  <c r="M3" i="18"/>
  <c r="L3" i="18"/>
  <c r="I3" i="18"/>
  <c r="H3" i="18"/>
  <c r="E3" i="18"/>
  <c r="D3" i="18"/>
  <c r="C3" i="18"/>
  <c r="AM1" i="18"/>
  <c r="AH19" i="17"/>
  <c r="AG19" i="17"/>
  <c r="AF19" i="17"/>
  <c r="AE19" i="17"/>
  <c r="AD19" i="17"/>
  <c r="AC19" i="17"/>
  <c r="AB19" i="17"/>
  <c r="AA19" i="17"/>
  <c r="Z19" i="17"/>
  <c r="Y19" i="17"/>
  <c r="X19" i="17"/>
  <c r="W19" i="17"/>
  <c r="V19" i="17"/>
  <c r="U19" i="17"/>
  <c r="T19" i="17"/>
  <c r="S19" i="17"/>
  <c r="R19" i="17"/>
  <c r="Q19" i="17"/>
  <c r="P19" i="17"/>
  <c r="O19" i="17"/>
  <c r="N19" i="17"/>
  <c r="M19" i="17"/>
  <c r="L19" i="17"/>
  <c r="K19" i="17"/>
  <c r="J19" i="17"/>
  <c r="I19" i="17"/>
  <c r="H19" i="17"/>
  <c r="G19" i="17"/>
  <c r="F19" i="17"/>
  <c r="E19" i="17"/>
  <c r="D19" i="17"/>
  <c r="AL11" i="17"/>
  <c r="AK11" i="17"/>
  <c r="AJ11" i="17"/>
  <c r="AI11" i="17"/>
  <c r="AL10" i="17"/>
  <c r="AK10" i="17"/>
  <c r="AJ10" i="17"/>
  <c r="AI10" i="17"/>
  <c r="AL9" i="17"/>
  <c r="AK9" i="17"/>
  <c r="AJ9" i="17"/>
  <c r="AI9" i="17"/>
  <c r="AL8" i="17"/>
  <c r="AK8" i="17"/>
  <c r="AJ8" i="17"/>
  <c r="AI8" i="17"/>
  <c r="AL7" i="17"/>
  <c r="AK7" i="17"/>
  <c r="AJ7" i="17"/>
  <c r="AI7" i="17"/>
  <c r="AI19" i="17" s="1"/>
  <c r="T3" i="17"/>
  <c r="Q3" i="17"/>
  <c r="P3" i="17"/>
  <c r="M3" i="17"/>
  <c r="L3" i="17"/>
  <c r="I3" i="17"/>
  <c r="H3" i="17"/>
  <c r="E3" i="17"/>
  <c r="D3" i="17"/>
  <c r="C3" i="17"/>
  <c r="AH12" i="16"/>
  <c r="AG12" i="16"/>
  <c r="AF12" i="16"/>
  <c r="AE12" i="16"/>
  <c r="AD12" i="16"/>
  <c r="AC12" i="16"/>
  <c r="AB12" i="16"/>
  <c r="AA12" i="16"/>
  <c r="Z12" i="16"/>
  <c r="Y12" i="16"/>
  <c r="X12" i="16"/>
  <c r="W12" i="16"/>
  <c r="V12" i="16"/>
  <c r="U12" i="16"/>
  <c r="T12" i="16"/>
  <c r="S12" i="16"/>
  <c r="R12" i="16"/>
  <c r="Q12" i="16"/>
  <c r="P12" i="16"/>
  <c r="O12" i="16"/>
  <c r="N12" i="16"/>
  <c r="M12" i="16"/>
  <c r="L12" i="16"/>
  <c r="K12" i="16"/>
  <c r="J12" i="16"/>
  <c r="I12" i="16"/>
  <c r="H12" i="16"/>
  <c r="G12" i="16"/>
  <c r="F12" i="16"/>
  <c r="E12" i="16"/>
  <c r="D12" i="16"/>
  <c r="AL11" i="16"/>
  <c r="AK11" i="16"/>
  <c r="AJ11" i="16"/>
  <c r="AI11" i="16"/>
  <c r="AL10" i="16"/>
  <c r="AK10" i="16"/>
  <c r="AJ10" i="16"/>
  <c r="AI10" i="16"/>
  <c r="AL9" i="16"/>
  <c r="AK9" i="16"/>
  <c r="AJ9" i="16"/>
  <c r="AI9" i="16"/>
  <c r="AL8" i="16"/>
  <c r="AK8" i="16"/>
  <c r="AJ8" i="16"/>
  <c r="AI8" i="16"/>
  <c r="AL7" i="16"/>
  <c r="AK7" i="16"/>
  <c r="AK12" i="16" s="1"/>
  <c r="AJ7" i="16"/>
  <c r="AI7" i="16"/>
  <c r="AI12" i="16" s="1"/>
  <c r="U3" i="16"/>
  <c r="T3" i="16"/>
  <c r="Q3" i="16"/>
  <c r="P3" i="16"/>
  <c r="M3" i="16"/>
  <c r="L3" i="16"/>
  <c r="I3" i="16"/>
  <c r="H3" i="16"/>
  <c r="E3" i="16"/>
  <c r="D3" i="16"/>
  <c r="C3" i="16"/>
  <c r="AM1" i="16"/>
  <c r="AH12" i="15"/>
  <c r="AG12" i="15"/>
  <c r="AF12" i="15"/>
  <c r="AE12" i="15"/>
  <c r="AD12" i="15"/>
  <c r="AC12" i="15"/>
  <c r="AB12" i="15"/>
  <c r="AA12" i="15"/>
  <c r="Z12" i="15"/>
  <c r="Y12" i="15"/>
  <c r="X12" i="15"/>
  <c r="W12" i="15"/>
  <c r="V12" i="15"/>
  <c r="U12" i="15"/>
  <c r="T12" i="15"/>
  <c r="S12" i="15"/>
  <c r="R12" i="15"/>
  <c r="Q12" i="15"/>
  <c r="P12" i="15"/>
  <c r="O12" i="15"/>
  <c r="N12" i="15"/>
  <c r="M12" i="15"/>
  <c r="L12" i="15"/>
  <c r="K12" i="15"/>
  <c r="J12" i="15"/>
  <c r="I12" i="15"/>
  <c r="H12" i="15"/>
  <c r="G12" i="15"/>
  <c r="F12" i="15"/>
  <c r="E12" i="15"/>
  <c r="D12" i="15"/>
  <c r="AL11" i="15"/>
  <c r="AK11" i="15"/>
  <c r="AJ11" i="15"/>
  <c r="AI11" i="15"/>
  <c r="AL10" i="15"/>
  <c r="AK10" i="15"/>
  <c r="AJ10" i="15"/>
  <c r="AI10" i="15"/>
  <c r="AL9" i="15"/>
  <c r="AK9" i="15"/>
  <c r="AJ9" i="15"/>
  <c r="AI9" i="15"/>
  <c r="AL8" i="15"/>
  <c r="AK8" i="15"/>
  <c r="AJ8" i="15"/>
  <c r="AI8" i="15"/>
  <c r="AL7" i="15"/>
  <c r="AK7" i="15"/>
  <c r="AK12" i="15" s="1"/>
  <c r="AJ7" i="15"/>
  <c r="AI7" i="15"/>
  <c r="U3" i="15"/>
  <c r="T3" i="15"/>
  <c r="Q3" i="15"/>
  <c r="P3" i="15"/>
  <c r="M3" i="15"/>
  <c r="L3" i="15"/>
  <c r="I3" i="15"/>
  <c r="H3" i="15"/>
  <c r="E3" i="15"/>
  <c r="D3" i="15"/>
  <c r="C3" i="15"/>
  <c r="AM1" i="15"/>
  <c r="AK19" i="17" l="1"/>
  <c r="AM8" i="16"/>
  <c r="AM9" i="16"/>
  <c r="AM8" i="20"/>
  <c r="AM7" i="22"/>
  <c r="AM8" i="22"/>
  <c r="AM9" i="22"/>
  <c r="AM10" i="22"/>
  <c r="AM10" i="16"/>
  <c r="AM11" i="16"/>
  <c r="AI12" i="15"/>
  <c r="AM7" i="17"/>
  <c r="AM8" i="17"/>
  <c r="AM9" i="17"/>
  <c r="AM10" i="17"/>
  <c r="AM11" i="17"/>
  <c r="AM7" i="19"/>
  <c r="AM8" i="19"/>
  <c r="AM9" i="19"/>
  <c r="AM10" i="19"/>
  <c r="AM11" i="19"/>
  <c r="AM7" i="16"/>
  <c r="AJ12" i="16"/>
  <c r="AM10" i="15"/>
  <c r="AM9" i="20"/>
  <c r="AM10" i="20"/>
  <c r="AM11" i="20"/>
  <c r="AM11" i="22"/>
  <c r="AM7" i="18"/>
  <c r="AM8" i="18"/>
  <c r="AM9" i="18"/>
  <c r="AM10" i="18"/>
  <c r="AM11" i="18"/>
  <c r="AM7" i="21"/>
  <c r="AM8" i="21"/>
  <c r="AM9" i="21"/>
  <c r="AM10" i="21"/>
  <c r="AM11" i="21"/>
  <c r="AM7" i="23"/>
  <c r="AM8" i="23"/>
  <c r="AM9" i="23"/>
  <c r="AM10" i="23"/>
  <c r="AM11" i="23"/>
  <c r="AJ12" i="23"/>
  <c r="AJ12" i="22"/>
  <c r="AJ12" i="21"/>
  <c r="AM7" i="20"/>
  <c r="AJ12" i="20"/>
  <c r="AJ12" i="19"/>
  <c r="AJ12" i="18"/>
  <c r="AJ19" i="17"/>
  <c r="AM11" i="15"/>
  <c r="AM9" i="15"/>
  <c r="AM8" i="15"/>
  <c r="AM7" i="15"/>
  <c r="AJ12" i="15"/>
  <c r="AL12" i="22"/>
  <c r="AH36" i="6"/>
  <c r="AH38" i="6"/>
  <c r="AL12" i="16"/>
  <c r="AK38" i="6"/>
  <c r="AI38" i="6"/>
  <c r="AK36" i="6"/>
  <c r="AI36" i="6"/>
  <c r="AJ38" i="6"/>
  <c r="AJ36" i="6"/>
  <c r="AL12" i="23"/>
  <c r="AL19" i="17"/>
  <c r="AL12" i="18"/>
  <c r="AL12" i="15"/>
  <c r="AM12" i="22" l="1"/>
  <c r="AM12" i="16"/>
  <c r="AM12" i="18"/>
  <c r="AM12" i="15"/>
  <c r="AM12" i="19"/>
  <c r="AM19" i="17"/>
  <c r="AM12" i="23"/>
  <c r="AM12" i="21"/>
  <c r="AM12" i="20"/>
  <c r="AF19" i="6"/>
  <c r="AE19" i="6"/>
  <c r="AD19" i="6"/>
  <c r="AC19" i="6"/>
  <c r="AB19" i="6"/>
  <c r="AA19" i="6"/>
  <c r="Z19" i="6"/>
  <c r="Y19" i="6"/>
  <c r="X19" i="6"/>
  <c r="W19" i="6"/>
  <c r="V19" i="6"/>
  <c r="U19" i="6"/>
  <c r="T19" i="6"/>
  <c r="S19" i="6"/>
  <c r="R19" i="6"/>
  <c r="Q19" i="6"/>
  <c r="P19" i="6"/>
  <c r="O19" i="6"/>
  <c r="N19" i="6"/>
  <c r="M19" i="6"/>
  <c r="L19" i="6"/>
  <c r="K19" i="6"/>
  <c r="J19" i="6"/>
  <c r="I19" i="6"/>
  <c r="H19" i="6"/>
  <c r="G19" i="6"/>
  <c r="F19" i="6"/>
  <c r="E19" i="6"/>
  <c r="D19" i="6"/>
  <c r="C19" i="6"/>
  <c r="U3" i="14"/>
  <c r="T3" i="14"/>
  <c r="Q3" i="14"/>
  <c r="P3" i="14"/>
  <c r="M3" i="14"/>
  <c r="L3" i="14"/>
  <c r="I3" i="14"/>
  <c r="H3" i="14"/>
  <c r="E3" i="14"/>
  <c r="D3" i="14"/>
  <c r="C3" i="14"/>
  <c r="AM1" i="14"/>
  <c r="AH12" i="14"/>
  <c r="B5" i="14"/>
  <c r="AG12" i="14"/>
  <c r="AF12" i="14"/>
  <c r="AE12" i="14"/>
  <c r="AD12" i="14"/>
  <c r="AC12" i="14"/>
  <c r="AB12" i="14"/>
  <c r="AA12" i="14"/>
  <c r="Z12" i="14"/>
  <c r="Y12" i="14"/>
  <c r="X12" i="14"/>
  <c r="W12" i="14"/>
  <c r="V12" i="14"/>
  <c r="U12" i="14"/>
  <c r="T12" i="14"/>
  <c r="S12" i="14"/>
  <c r="R12" i="14"/>
  <c r="Q12" i="14"/>
  <c r="P12" i="14"/>
  <c r="O12" i="14"/>
  <c r="N12" i="14"/>
  <c r="M12" i="14"/>
  <c r="L12" i="14"/>
  <c r="K12" i="14"/>
  <c r="J12" i="14"/>
  <c r="I12" i="14"/>
  <c r="H12" i="14"/>
  <c r="G12" i="14"/>
  <c r="F12" i="14"/>
  <c r="E12" i="14"/>
  <c r="D12" i="14"/>
  <c r="AL11" i="14"/>
  <c r="AK11" i="14"/>
  <c r="AJ11" i="14"/>
  <c r="AI11" i="14"/>
  <c r="AL10" i="14"/>
  <c r="AK10" i="14"/>
  <c r="AJ10" i="14"/>
  <c r="AI10" i="14"/>
  <c r="AL9" i="14"/>
  <c r="AK9" i="14"/>
  <c r="AJ9" i="14"/>
  <c r="AI9" i="14"/>
  <c r="AL8" i="14"/>
  <c r="AK8" i="14"/>
  <c r="AJ8" i="14"/>
  <c r="AI8" i="14"/>
  <c r="AL7" i="14"/>
  <c r="AK12" i="14" s="1"/>
  <c r="AK7" i="14"/>
  <c r="AJ7" i="14"/>
  <c r="AI7" i="14"/>
  <c r="AI12" i="14" s="1"/>
  <c r="AE29" i="6"/>
  <c r="AD29" i="6"/>
  <c r="AC29" i="6"/>
  <c r="AB29" i="6"/>
  <c r="AA29" i="6"/>
  <c r="Z29" i="6"/>
  <c r="Y29" i="6"/>
  <c r="X29" i="6"/>
  <c r="W29" i="6"/>
  <c r="V29" i="6"/>
  <c r="U29" i="6"/>
  <c r="T29" i="6"/>
  <c r="S29" i="6"/>
  <c r="R29" i="6"/>
  <c r="Q29" i="6"/>
  <c r="P29" i="6"/>
  <c r="O29" i="6"/>
  <c r="N29" i="6"/>
  <c r="M29" i="6"/>
  <c r="L29" i="6"/>
  <c r="K29" i="6"/>
  <c r="J29" i="6"/>
  <c r="I29" i="6"/>
  <c r="H29" i="6"/>
  <c r="G29" i="6"/>
  <c r="F29" i="6"/>
  <c r="E29" i="6"/>
  <c r="D29" i="6"/>
  <c r="C29" i="6"/>
  <c r="AM9" i="14" l="1"/>
  <c r="AM11" i="14"/>
  <c r="AM10" i="14"/>
  <c r="AM8" i="14"/>
  <c r="AM7" i="14"/>
  <c r="AJ12" i="14"/>
  <c r="AL12" i="14"/>
  <c r="U3" i="8"/>
  <c r="T3" i="8"/>
  <c r="Q3" i="8"/>
  <c r="P3" i="8"/>
  <c r="M3" i="8"/>
  <c r="L3" i="8"/>
  <c r="I3" i="8"/>
  <c r="H3" i="8"/>
  <c r="E3" i="8"/>
  <c r="D3" i="8"/>
  <c r="C3" i="8"/>
  <c r="AM12" i="14" l="1"/>
  <c r="AM1" i="8"/>
  <c r="AF12" i="8"/>
  <c r="AE12" i="8"/>
  <c r="AD12" i="8"/>
  <c r="AC12" i="8"/>
  <c r="AB12" i="8"/>
  <c r="AA12" i="8"/>
  <c r="Z12" i="8"/>
  <c r="Y12" i="8"/>
  <c r="X12" i="8"/>
  <c r="W12" i="8"/>
  <c r="V12" i="8"/>
  <c r="U12" i="8"/>
  <c r="T12" i="8"/>
  <c r="S12" i="8"/>
  <c r="R12" i="8"/>
  <c r="Q12" i="8"/>
  <c r="P12" i="8"/>
  <c r="O12" i="8"/>
  <c r="N12" i="8"/>
  <c r="M12" i="8"/>
  <c r="L12" i="8"/>
  <c r="K12" i="8"/>
  <c r="J12" i="8"/>
  <c r="I12" i="8"/>
  <c r="H12" i="8"/>
  <c r="G12" i="8"/>
  <c r="F12" i="8"/>
  <c r="E12" i="8"/>
  <c r="D12" i="8"/>
  <c r="AL11" i="8"/>
  <c r="AK11" i="8"/>
  <c r="AJ11" i="8"/>
  <c r="AI11" i="8"/>
  <c r="AL10" i="8"/>
  <c r="AK10" i="8"/>
  <c r="AJ10" i="8"/>
  <c r="AI10" i="8"/>
  <c r="AL9" i="8"/>
  <c r="AK9" i="8"/>
  <c r="AJ9" i="8"/>
  <c r="AI9" i="8"/>
  <c r="AL8" i="8"/>
  <c r="AK8" i="8"/>
  <c r="AJ8" i="8"/>
  <c r="AI8" i="8"/>
  <c r="AL7" i="8"/>
  <c r="AK7" i="8"/>
  <c r="AK12" i="8" s="1"/>
  <c r="AJ7" i="8"/>
  <c r="AI7" i="8"/>
  <c r="B5" i="8"/>
  <c r="AI12" i="8" l="1"/>
  <c r="AM7" i="8"/>
  <c r="AM8" i="8"/>
  <c r="AM9" i="8"/>
  <c r="AM10" i="8"/>
  <c r="AM11" i="8"/>
  <c r="AJ12" i="8"/>
  <c r="AL12" i="8"/>
  <c r="AI11" i="4"/>
  <c r="AJ11" i="4"/>
  <c r="AK11" i="4"/>
  <c r="AL11" i="4"/>
  <c r="AL7" i="4"/>
  <c r="AL8" i="4"/>
  <c r="AL9" i="4"/>
  <c r="AL10" i="4"/>
  <c r="AK7" i="4"/>
  <c r="AK8" i="4"/>
  <c r="AK9" i="4"/>
  <c r="AK10" i="4"/>
  <c r="AJ7" i="4"/>
  <c r="AM7" i="4" s="1"/>
  <c r="AJ8" i="4"/>
  <c r="AM8" i="4" s="1"/>
  <c r="AJ9" i="4"/>
  <c r="AM9" i="4" s="1"/>
  <c r="AJ10" i="4"/>
  <c r="AM10" i="4" s="1"/>
  <c r="AM12" i="8" l="1"/>
  <c r="AM11" i="4"/>
  <c r="AM19" i="4" s="1"/>
  <c r="AK19" i="4"/>
  <c r="AJ19" i="4"/>
  <c r="AI7" i="4"/>
  <c r="AI8" i="4"/>
  <c r="AI9" i="4"/>
  <c r="AI10" i="4"/>
  <c r="AI19" i="4" l="1"/>
  <c r="E19" i="4"/>
  <c r="C17" i="6"/>
  <c r="D17" i="6"/>
  <c r="E17" i="6"/>
  <c r="F17" i="6"/>
  <c r="G17" i="6"/>
  <c r="H17" i="6"/>
  <c r="I17" i="6"/>
  <c r="J17" i="6"/>
  <c r="K17" i="6"/>
  <c r="L17" i="6"/>
  <c r="M17" i="6"/>
  <c r="N17" i="6"/>
  <c r="O17" i="6"/>
  <c r="P17" i="6"/>
  <c r="Q17" i="6"/>
  <c r="R17" i="6"/>
  <c r="S17" i="6"/>
  <c r="T17" i="6"/>
  <c r="U17" i="6"/>
  <c r="V17" i="6"/>
  <c r="W17" i="6"/>
  <c r="X17" i="6"/>
  <c r="Y17" i="6"/>
  <c r="Z17" i="6"/>
  <c r="AA17" i="6"/>
  <c r="AB17" i="6"/>
  <c r="AC17" i="6"/>
  <c r="AD17" i="6"/>
  <c r="AE17" i="6"/>
  <c r="AF17" i="6"/>
  <c r="AG17" i="6"/>
  <c r="F19" i="4"/>
  <c r="G19" i="4"/>
  <c r="H19" i="4"/>
  <c r="I19" i="4"/>
  <c r="J19" i="4"/>
  <c r="K19" i="4"/>
  <c r="L19" i="4"/>
  <c r="M19" i="4"/>
  <c r="N19" i="4"/>
  <c r="O19" i="4"/>
  <c r="P19" i="4"/>
  <c r="Q19" i="4"/>
  <c r="R19" i="4"/>
  <c r="S19" i="4"/>
  <c r="T19" i="4"/>
  <c r="U19" i="4"/>
  <c r="V19" i="4"/>
  <c r="W19" i="4"/>
  <c r="X19" i="4"/>
  <c r="Y19" i="4"/>
  <c r="Z19" i="4"/>
  <c r="AA19" i="4"/>
  <c r="AB19" i="4"/>
  <c r="AC19" i="4"/>
  <c r="AD19" i="4"/>
  <c r="AE19" i="4"/>
  <c r="AF19" i="4"/>
  <c r="AG19" i="4"/>
  <c r="AH19" i="4"/>
  <c r="D19" i="4"/>
  <c r="AK16" i="6" l="1"/>
  <c r="AJ16" i="6"/>
  <c r="AI16" i="6"/>
  <c r="AH16" i="6"/>
  <c r="K6" i="6"/>
  <c r="B6" i="6"/>
  <c r="B10" i="6"/>
  <c r="AE10" i="6"/>
  <c r="W10" i="6"/>
  <c r="K10" i="6"/>
  <c r="AE8" i="6"/>
  <c r="W8" i="6"/>
  <c r="K8" i="6"/>
  <c r="B8" i="6"/>
  <c r="AK28" i="6" l="1"/>
  <c r="AJ28" i="6"/>
  <c r="AI28" i="6"/>
  <c r="AH28" i="6"/>
  <c r="AI22" i="6" l="1"/>
  <c r="AK22" i="6"/>
  <c r="AJ22" i="6"/>
  <c r="AK24" i="6"/>
  <c r="AJ24" i="6"/>
  <c r="AI24" i="6"/>
  <c r="AJ30" i="6"/>
  <c r="AI30" i="6"/>
  <c r="AK30" i="6"/>
  <c r="AK18" i="6"/>
  <c r="AJ18" i="6"/>
  <c r="AI18" i="6"/>
  <c r="AK20" i="6"/>
  <c r="AJ20" i="6"/>
  <c r="AI20" i="6"/>
  <c r="AK26" i="6"/>
  <c r="AJ26" i="6"/>
  <c r="AI26" i="6"/>
  <c r="AK32" i="6"/>
  <c r="AJ32" i="6"/>
  <c r="AI32" i="6"/>
  <c r="AK34" i="6"/>
  <c r="AJ34" i="6"/>
  <c r="AI34" i="6"/>
  <c r="AH18" i="6"/>
  <c r="AH22" i="6"/>
  <c r="AH24" i="6"/>
  <c r="AH30" i="6"/>
  <c r="AH20" i="6"/>
  <c r="AH26" i="6"/>
  <c r="AH32" i="6"/>
  <c r="AH34" i="6"/>
  <c r="B5" i="4" l="1"/>
  <c r="AE6" i="6"/>
  <c r="W6" i="6"/>
  <c r="S4" i="6"/>
  <c r="P4" i="6"/>
  <c r="AH40" i="6" l="1"/>
  <c r="AI40" i="6"/>
  <c r="AJ40" i="6"/>
  <c r="AK40" i="6"/>
  <c r="D4" i="6" l="1"/>
  <c r="I1" i="6" s="1"/>
  <c r="AL19" i="4"/>
</calcChain>
</file>

<file path=xl/sharedStrings.xml><?xml version="1.0" encoding="utf-8"?>
<sst xmlns="http://schemas.openxmlformats.org/spreadsheetml/2006/main" count="799" uniqueCount="139">
  <si>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</si>
  <si>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</si>
  <si>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</si>
  <si>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</si>
  <si>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</si>
  <si>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</si>
  <si>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</si>
  <si>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</si>
  <si>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</si>
  <si>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</si>
  <si>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</si>
  <si>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</si>
  <si>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</si>
  <si>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</si>
  <si>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</si>
  <si>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</si>
  <si>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</si>
  <si>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</si>
  <si>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</si>
  <si>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</si>
  <si>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</si>
  <si>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</si>
  <si>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</si>
  <si>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</si>
  <si>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</si>
  <si>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</si>
  <si>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</si>
  <si>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</si>
  <si>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</si>
  <si>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</si>
  <si>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</si>
  <si>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P</t>
  </si>
  <si>
    <t>Nome do Estudante</t>
  </si>
  <si>
    <t>Apelido do Estudante</t>
  </si>
  <si>
    <t>ID de Estudante</t>
  </si>
  <si>
    <t>Nome do Estudante</t>
  </si>
  <si>
    <t>T</t>
  </si>
  <si>
    <t>U</t>
  </si>
  <si>
    <t>E</t>
  </si>
  <si>
    <t>Dias de Ausência</t>
  </si>
  <si>
    <t>Totais</t>
  </si>
  <si>
    <t>Género</t>
  </si>
  <si>
    <t>Data de Nascimento</t>
  </si>
  <si>
    <t>Escola</t>
  </si>
  <si>
    <t>Nota</t>
  </si>
  <si>
    <t>Professor</t>
  </si>
  <si>
    <t>Sala</t>
  </si>
  <si>
    <t>Relação</t>
  </si>
  <si>
    <t>Número do Trabalho</t>
  </si>
  <si>
    <t>Número de Casa</t>
  </si>
  <si>
    <t>Contacto em Caso de Emergência</t>
  </si>
  <si>
    <t>M</t>
  </si>
  <si>
    <t>Relação do Contacto em Caso de Emergência</t>
  </si>
  <si>
    <t>Número do Trabalho do Contacto em Caso de Emergência</t>
  </si>
  <si>
    <t>Número de casa do Contacto em Caso de Emergência</t>
  </si>
  <si>
    <t>Nome Completo do Estudante</t>
  </si>
  <si>
    <t>Avô</t>
  </si>
  <si>
    <t>Total de Presenças</t>
  </si>
  <si>
    <t>agosto</t>
  </si>
  <si>
    <t>setembro</t>
  </si>
  <si>
    <t>outubro</t>
  </si>
  <si>
    <t>novembro</t>
  </si>
  <si>
    <t>dezembro</t>
  </si>
  <si>
    <t>janeiro</t>
  </si>
  <si>
    <t>fevereiro</t>
  </si>
  <si>
    <t>março</t>
  </si>
  <si>
    <t>abril</t>
  </si>
  <si>
    <t>maio</t>
  </si>
  <si>
    <t>junho</t>
  </si>
  <si>
    <t>julho</t>
  </si>
  <si>
    <t>N</t>
  </si>
  <si>
    <t>Início do Ano Letivo:</t>
  </si>
  <si>
    <t>Pai</t>
  </si>
  <si>
    <t>Pai ou Tutor 1</t>
  </si>
  <si>
    <t>Relação Pai/Tutor 1</t>
  </si>
  <si>
    <t>Número de casa do Pai/Tutor 1</t>
  </si>
  <si>
    <t>Relação Pai/Tutor 2</t>
  </si>
  <si>
    <t>Número de trabalho do Pai/Tutor 2</t>
  </si>
  <si>
    <t>Número de casa do Pai/Tutor 2</t>
  </si>
  <si>
    <t>Pai/Tutor 2</t>
  </si>
  <si>
    <t>Nome do Pai ou Tutor 1</t>
  </si>
  <si>
    <t>Nome do Pai ou Tutor 2</t>
  </si>
  <si>
    <t>Atrasado</t>
  </si>
  <si>
    <t>Justificado</t>
  </si>
  <si>
    <t>Não justificado</t>
  </si>
  <si>
    <t>Presente</t>
  </si>
  <si>
    <t>Não há Escola</t>
  </si>
  <si>
    <t>Presenças</t>
  </si>
  <si>
    <t>RELATÓRIO DE PRESENÇAS DOS ESTUDANTES</t>
  </si>
  <si>
    <t>Neves</t>
  </si>
  <si>
    <t>Isabel</t>
  </si>
  <si>
    <t>Carlos Grilo</t>
  </si>
  <si>
    <t xml:space="preserve">Escola de Belas Artes </t>
  </si>
  <si>
    <t>Marcos Santos</t>
  </si>
  <si>
    <t>Nuno Farinha</t>
  </si>
  <si>
    <t xml:space="preserve">● </t>
  </si>
  <si>
    <t>1.</t>
  </si>
  <si>
    <t>2.</t>
  </si>
  <si>
    <t>3.</t>
  </si>
  <si>
    <t>Depois dos seus alunos terem sido colocados na folha Lista de Estudantes, pode começar a registar as Presenças durante o ano letivo, utilizando os seguintes passos:</t>
  </si>
  <si>
    <t>ONDE COMEÇAR?</t>
  </si>
  <si>
    <t>ADICIONEI OS MEUS ESTUDANTES, O QUE FAÇO DE SEGUIDA?</t>
  </si>
  <si>
    <t>COMO ADICIONO MAIS ESTUDANTES A UM RELATÓRIO DE PRESENÇAS MENSAL?</t>
  </si>
  <si>
    <t>POSSO VER A PRESENÇAS DE UM ESTUDANTE AO LONGO DO ANO LETIVO?</t>
  </si>
  <si>
    <t>Há alguns passos que necessita de dar antes de poder começar a registar a presença de estudantes:</t>
  </si>
  <si>
    <t xml:space="preserve">CHAVE DE CORES </t>
  </si>
  <si>
    <t>Se a tabela não tiver uma linha de Total, comece por introduzir dados abaixo a tabela e irá expandir-se automaticamente ao premir Enter ou a tecla de Tabulação.</t>
  </si>
  <si>
    <t>Posicione o ponteiro de célula na última célula acima da linha de Total, tal como a célula Dias Ausente para o último estudante e, em seguida, pressione a tecla de Tabulação.</t>
  </si>
  <si>
    <t>No canto inferior direito da tabela, posicione o rato na alça de dimensionamento e arraste para baixo, para aumentar o número de linhas da tabela disponíveis.</t>
  </si>
  <si>
    <t>De seguida, introduza o relatório de Presenças para cada dia do mês, utilizando os tipos de Presenças fornecidos na Chave de Cores. As Presenças de estudantes são calculadas automaticamente pelo tipo de Presença para cada estudante na coluna Totais. As ausências totais para cada dia são calculadas automaticamente na base da tabela, na linha de Total.</t>
  </si>
  <si>
    <t>As folhas de relatório de Presenças mensal e a Lista de Estudantes são tabelas do Excel. Para adicionar novas linhas a qualquer tabela Excel, siga um dos seguintes passos:</t>
  </si>
  <si>
    <t>Número de trabalho do Pai/Tutor 1</t>
  </si>
  <si>
    <t xml:space="preserve"> </t>
  </si>
  <si>
    <t>Total de dias de ausência</t>
  </si>
  <si>
    <t>LISTA DE ESTUDANTES</t>
  </si>
  <si>
    <t>COMO USAR ESTE MODELO</t>
  </si>
  <si>
    <t>Personalize um tema de documento.</t>
  </si>
  <si>
    <r>
      <t xml:space="preserve">Clique com o botão direito do rato dentro da tabela e, no menu de pop-up, aponte para </t>
    </r>
    <r>
      <rPr>
        <b/>
        <sz val="10"/>
        <color theme="1"/>
        <rFont val="Century Gothic"/>
        <family val="2"/>
        <scheme val="minor"/>
      </rPr>
      <t>Inserir,</t>
    </r>
    <r>
      <rPr>
        <sz val="10"/>
        <color theme="1"/>
        <rFont val="Century Gothic"/>
        <family val="2"/>
        <scheme val="minor"/>
      </rPr>
      <t xml:space="preserve"> e, em seguida, clique em </t>
    </r>
    <r>
      <rPr>
        <b/>
        <sz val="10"/>
        <color theme="1"/>
        <rFont val="Century Gothic"/>
        <family val="2"/>
        <scheme val="minor"/>
      </rPr>
      <t>Linhas de Tabela Acima</t>
    </r>
    <r>
      <rPr>
        <sz val="10"/>
        <color theme="1"/>
        <rFont val="Century Gothic"/>
        <family val="2"/>
        <scheme val="minor"/>
      </rPr>
      <t xml:space="preserve"> ou L</t>
    </r>
    <r>
      <rPr>
        <b/>
        <sz val="10"/>
        <color theme="1"/>
        <rFont val="Century Gothic"/>
        <family val="2"/>
        <scheme val="minor"/>
      </rPr>
      <t>inhas de Tabela Abaixo</t>
    </r>
    <r>
      <rPr>
        <sz val="10"/>
        <color theme="1"/>
        <rFont val="Century Gothic"/>
        <family val="2"/>
        <scheme val="minor"/>
      </rPr>
      <t xml:space="preserve">. </t>
    </r>
  </si>
  <si>
    <r>
      <t xml:space="preserve">A última folha neste livro, Relatório de Presenças de Estudantes, controla a Presenças do ano inteiro até ao presente. Para ver um relatório para um estudante específico, clique na célula abaixo de </t>
    </r>
    <r>
      <rPr>
        <b/>
        <sz val="10"/>
        <color theme="1"/>
        <rFont val="Century Gothic"/>
        <family val="2"/>
        <scheme val="minor"/>
      </rPr>
      <t>ID de Estudante</t>
    </r>
    <r>
      <rPr>
        <sz val="10"/>
        <color theme="1"/>
        <rFont val="Century Gothic"/>
        <family val="2"/>
        <scheme val="minor"/>
      </rPr>
      <t xml:space="preserve"> e, em seguida, selecione um ID da lista pendente. A informação que introduziu anteriormente na folha de Lista de Estudantes será apresentada automaticamente. Tenha em consideração que, na primeira vez que utilizar o Relatório de Presenças de Estudantes, deverá introduzir a Escola, a Classificação,o Professor e a Sala. Esta informação não será alterada se selecionar outro estudante. </t>
    </r>
  </si>
  <si>
    <r>
      <rPr>
        <b/>
        <sz val="10"/>
        <color theme="4" tint="-0.499984740745262"/>
        <rFont val="Century Gothic"/>
        <family val="2"/>
        <scheme val="minor"/>
      </rPr>
      <t>Adicionar os seus estudantes</t>
    </r>
    <r>
      <rPr>
        <b/>
        <sz val="10"/>
        <color theme="1"/>
        <rFont val="Century Gothic"/>
        <family val="2"/>
        <scheme val="minor"/>
      </rPr>
      <t>:</t>
    </r>
    <r>
      <rPr>
        <sz val="10"/>
        <color theme="1"/>
        <rFont val="Century Gothic"/>
        <family val="2"/>
        <scheme val="minor"/>
      </rPr>
      <t xml:space="preserve"> Na folha </t>
    </r>
    <r>
      <rPr>
        <b/>
        <sz val="10"/>
        <color theme="1"/>
        <rFont val="Century Gothic"/>
        <family val="2"/>
        <scheme val="minor"/>
      </rPr>
      <t>Lista de Estudantes</t>
    </r>
    <r>
      <rPr>
        <sz val="10"/>
        <color theme="1"/>
        <rFont val="Century Gothic"/>
        <family val="2"/>
        <scheme val="minor"/>
      </rPr>
      <t>, introduza a informação de cada estudante, tal como os nomes dos tutores e dados de contacto. O ID de Estudante é uma entrada importante porque fornece um identificador único para cada estudante e é utilizado ao longo do livro para as várias listas pendentes de ID de Estudante para facilitar a introdução de dados. A informação que introduziu na Lista de Estudantes é utilizada em outras folhas também, tal como o Relatório de Presenças de Estudantes e as Presenças mensais.</t>
    </r>
  </si>
  <si>
    <r>
      <rPr>
        <b/>
        <sz val="10"/>
        <color theme="1"/>
        <rFont val="Century Gothic"/>
        <family val="2"/>
        <scheme val="minor"/>
      </rPr>
      <t xml:space="preserve">Sugestão: </t>
    </r>
    <r>
      <rPr>
        <sz val="10"/>
        <color theme="1"/>
        <rFont val="Century Gothic"/>
        <family val="2"/>
        <scheme val="minor"/>
      </rPr>
      <t xml:space="preserve">Guarde os passos de introdução de dados! Após ter adicionado os estudantes para um mês, selecione os IDs de Estudante introduzidos, copie-os e, e em seguida, cole-os na coluna </t>
    </r>
    <r>
      <rPr>
        <b/>
        <sz val="10"/>
        <color theme="1"/>
        <rFont val="Century Gothic"/>
        <family val="2"/>
        <scheme val="minor"/>
      </rPr>
      <t>ID de Estudante</t>
    </r>
    <r>
      <rPr>
        <sz val="10"/>
        <color theme="1"/>
        <rFont val="Century Gothic"/>
        <family val="2"/>
        <scheme val="minor"/>
      </rPr>
      <t xml:space="preserve"> para os meses restantes. </t>
    </r>
  </si>
  <si>
    <r>
      <rPr>
        <b/>
        <sz val="10"/>
        <color theme="1"/>
        <rFont val="Century Gothic"/>
        <family val="2"/>
        <scheme val="minor"/>
      </rPr>
      <t>Sugestão:</t>
    </r>
    <r>
      <rPr>
        <sz val="10"/>
        <color theme="1"/>
        <rFont val="Century Gothic"/>
        <family val="2"/>
        <scheme val="minor"/>
      </rPr>
      <t xml:space="preserve"> Crie um conjunto de cores de tema personalizado para condizer com as cores da escola! Para o fazer, no separador </t>
    </r>
    <r>
      <rPr>
        <b/>
        <sz val="10"/>
        <color theme="1"/>
        <rFont val="Century Gothic"/>
        <family val="2"/>
        <scheme val="minor"/>
      </rPr>
      <t>Esquema de Página</t>
    </r>
    <r>
      <rPr>
        <sz val="10"/>
        <color theme="1"/>
        <rFont val="Century Gothic"/>
        <family val="2"/>
        <scheme val="minor"/>
      </rPr>
      <t xml:space="preserve">, no grupo </t>
    </r>
    <r>
      <rPr>
        <b/>
        <sz val="10"/>
        <color theme="1"/>
        <rFont val="Century Gothic"/>
        <family val="2"/>
        <scheme val="minor"/>
      </rPr>
      <t>Temas</t>
    </r>
    <r>
      <rPr>
        <sz val="10"/>
        <color theme="1"/>
        <rFont val="Century Gothic"/>
        <family val="2"/>
        <scheme val="minor"/>
      </rPr>
      <t xml:space="preserve">, clique em </t>
    </r>
    <r>
      <rPr>
        <b/>
        <sz val="10"/>
        <color theme="1"/>
        <rFont val="Century Gothic"/>
        <family val="2"/>
        <scheme val="minor"/>
      </rPr>
      <t>Cores</t>
    </r>
    <r>
      <rPr>
        <sz val="10"/>
        <color theme="1"/>
        <rFont val="Century Gothic"/>
        <family val="2"/>
        <scheme val="minor"/>
      </rPr>
      <t xml:space="preserve"> e, em seguida, junto da base da galeria de cores, clique em </t>
    </r>
    <r>
      <rPr>
        <b/>
        <sz val="10"/>
        <color theme="1"/>
        <rFont val="Century Gothic"/>
        <family val="2"/>
        <scheme val="minor"/>
      </rPr>
      <t>Criar Novas Cores de Tema.</t>
    </r>
    <r>
      <rPr>
        <sz val="10"/>
        <color theme="1"/>
        <rFont val="Century Gothic"/>
        <family val="2"/>
        <scheme val="minor"/>
      </rPr>
      <t>Para mais informação sobre como criar um conjunto de cores personalizado, leia o seguinte tópico de Ajuda:</t>
    </r>
  </si>
  <si>
    <r>
      <rPr>
        <b/>
        <sz val="10"/>
        <color theme="4" tint="-0.499984740745262"/>
        <rFont val="Century Gothic"/>
        <family val="2"/>
        <scheme val="minor"/>
      </rPr>
      <t>Alterar o ano letivo:</t>
    </r>
    <r>
      <rPr>
        <sz val="10"/>
        <color theme="4" tint="-0.499984740745262"/>
        <rFont val="Century Gothic"/>
        <family val="2"/>
        <scheme val="minor"/>
      </rPr>
      <t xml:space="preserve"> </t>
    </r>
    <r>
      <rPr>
        <sz val="10"/>
        <color theme="1"/>
        <rFont val="Century Gothic"/>
        <family val="2"/>
        <scheme val="minor"/>
      </rPr>
      <t xml:space="preserve">Na folha de participação de </t>
    </r>
    <r>
      <rPr>
        <b/>
        <sz val="10"/>
        <color theme="1"/>
        <rFont val="Century Gothic"/>
        <family val="2"/>
        <scheme val="minor"/>
      </rPr>
      <t>agosto</t>
    </r>
    <r>
      <rPr>
        <sz val="10"/>
        <color theme="1"/>
        <rFont val="Century Gothic"/>
        <family val="2"/>
        <scheme val="minor"/>
      </rPr>
      <t>, clique no controlo giratório no canto superior direito para atualizar o ano letivo. Esta alteração irá atualizar o cabeçalho em todos os relatórios de Presenças mensais ao longo do livro. (Note que o botão de controlo giratório não irá imprimir.)</t>
    </r>
  </si>
  <si>
    <r>
      <rPr>
        <b/>
        <i/>
        <sz val="10"/>
        <color theme="4" tint="-0.499984740745262"/>
        <rFont val="Century Gothic"/>
        <family val="2"/>
        <scheme val="minor"/>
      </rPr>
      <t>(Opcional)</t>
    </r>
    <r>
      <rPr>
        <b/>
        <sz val="10"/>
        <color theme="4" tint="-0.499984740745262"/>
        <rFont val="Century Gothic"/>
        <family val="2"/>
        <scheme val="minor"/>
      </rPr>
      <t xml:space="preserve"> Altere as cores ao longo do livro:</t>
    </r>
    <r>
      <rPr>
        <b/>
        <sz val="10"/>
        <color theme="1"/>
        <rFont val="Century Gothic"/>
        <family val="2"/>
        <scheme val="minor"/>
      </rPr>
      <t xml:space="preserve"> </t>
    </r>
    <r>
      <rPr>
        <sz val="10"/>
        <color theme="1"/>
        <rFont val="Century Gothic"/>
        <family val="2"/>
        <scheme val="minor"/>
      </rPr>
      <t xml:space="preserve"> Em primeiro lugar, navegue até à ultima folha, </t>
    </r>
    <r>
      <rPr>
        <b/>
        <sz val="10"/>
        <color theme="1"/>
        <rFont val="Century Gothic"/>
        <family val="2"/>
        <scheme val="minor"/>
      </rPr>
      <t>Relatório de Presenças do Estudante</t>
    </r>
    <r>
      <rPr>
        <sz val="10"/>
        <color theme="1"/>
        <rFont val="Century Gothic"/>
        <family val="2"/>
        <scheme val="minor"/>
      </rPr>
      <t xml:space="preserve"> e, no separador </t>
    </r>
    <r>
      <rPr>
        <b/>
        <sz val="10"/>
        <color theme="1"/>
        <rFont val="Century Gothic"/>
        <family val="2"/>
        <scheme val="minor"/>
      </rPr>
      <t>Rever</t>
    </r>
    <r>
      <rPr>
        <sz val="10"/>
        <color theme="1"/>
        <rFont val="Century Gothic"/>
        <family val="2"/>
        <scheme val="minor"/>
      </rPr>
      <t xml:space="preserve">, no grupo </t>
    </r>
    <r>
      <rPr>
        <b/>
        <sz val="10"/>
        <color theme="1"/>
        <rFont val="Century Gothic"/>
        <family val="2"/>
        <scheme val="minor"/>
      </rPr>
      <t>Alterações</t>
    </r>
    <r>
      <rPr>
        <sz val="10"/>
        <color theme="1"/>
        <rFont val="Century Gothic"/>
        <family val="2"/>
        <scheme val="minor"/>
      </rPr>
      <t xml:space="preserve">, clique em </t>
    </r>
    <r>
      <rPr>
        <b/>
        <sz val="10"/>
        <color theme="1"/>
        <rFont val="Century Gothic"/>
        <family val="2"/>
        <scheme val="minor"/>
      </rPr>
      <t>Desproteger Folha.</t>
    </r>
    <r>
      <rPr>
        <sz val="10"/>
        <color theme="1"/>
        <rFont val="Century Gothic"/>
        <family val="2"/>
        <scheme val="minor"/>
      </rPr>
      <t xml:space="preserve">Em seguida, no separador </t>
    </r>
    <r>
      <rPr>
        <b/>
        <sz val="10"/>
        <color theme="1"/>
        <rFont val="Century Gothic"/>
        <family val="2"/>
        <scheme val="minor"/>
      </rPr>
      <t>Esquema de Página</t>
    </r>
    <r>
      <rPr>
        <sz val="10"/>
        <color theme="1"/>
        <rFont val="Century Gothic"/>
        <family val="2"/>
        <scheme val="minor"/>
      </rPr>
      <t xml:space="preserve">, no grupo </t>
    </r>
    <r>
      <rPr>
        <b/>
        <sz val="10"/>
        <color theme="1"/>
        <rFont val="Century Gothic"/>
        <family val="2"/>
        <scheme val="minor"/>
      </rPr>
      <t>Temas</t>
    </r>
    <r>
      <rPr>
        <sz val="10"/>
        <color theme="1"/>
        <rFont val="Century Gothic"/>
        <family val="2"/>
        <scheme val="minor"/>
      </rPr>
      <t xml:space="preserve">, clique em </t>
    </r>
    <r>
      <rPr>
        <b/>
        <sz val="10"/>
        <color theme="1"/>
        <rFont val="Century Gothic"/>
        <family val="2"/>
        <scheme val="minor"/>
      </rPr>
      <t>Cores</t>
    </r>
    <r>
      <rPr>
        <sz val="10"/>
        <color theme="1"/>
        <rFont val="Century Gothic"/>
        <family val="2"/>
        <scheme val="minor"/>
      </rPr>
      <t xml:space="preserve"> e selecione outro conjunto de cores do tema da galeria de cores. Depois de efetuar as alterações de cor e quaisquer outras alterações no tema, volte à folha </t>
    </r>
    <r>
      <rPr>
        <b/>
        <sz val="10"/>
        <color theme="1"/>
        <rFont val="Century Gothic"/>
        <family val="2"/>
        <scheme val="minor"/>
      </rPr>
      <t xml:space="preserve">Relatório de Presenças do Estudante </t>
    </r>
    <r>
      <rPr>
        <sz val="10"/>
        <color theme="1"/>
        <rFont val="Century Gothic"/>
        <family val="2"/>
        <scheme val="minor"/>
      </rPr>
      <t xml:space="preserve">e, no separador </t>
    </r>
    <r>
      <rPr>
        <b/>
        <sz val="10"/>
        <color theme="1"/>
        <rFont val="Century Gothic"/>
        <family val="2"/>
        <scheme val="minor"/>
      </rPr>
      <t>Rever</t>
    </r>
    <r>
      <rPr>
        <sz val="10"/>
        <color theme="1"/>
        <rFont val="Century Gothic"/>
        <family val="2"/>
        <scheme val="minor"/>
      </rPr>
      <t xml:space="preserve">, no grupo </t>
    </r>
    <r>
      <rPr>
        <b/>
        <sz val="10"/>
        <color theme="1"/>
        <rFont val="Century Gothic"/>
        <family val="2"/>
        <scheme val="minor"/>
      </rPr>
      <t>Alterações</t>
    </r>
    <r>
      <rPr>
        <sz val="10"/>
        <color theme="1"/>
        <rFont val="Century Gothic"/>
        <family val="2"/>
        <scheme val="minor"/>
      </rPr>
      <t>, clique em</t>
    </r>
    <r>
      <rPr>
        <b/>
        <sz val="10"/>
        <color theme="1"/>
        <rFont val="Century Gothic"/>
        <family val="2"/>
        <scheme val="minor"/>
      </rPr>
      <t xml:space="preserve"> Proteger Folha</t>
    </r>
    <r>
      <rPr>
        <sz val="10"/>
        <color theme="1"/>
        <rFont val="Century Gothic"/>
        <family val="2"/>
        <scheme val="minor"/>
      </rPr>
      <t xml:space="preserve"> e, em seguida, clique em </t>
    </r>
    <r>
      <rPr>
        <b/>
        <sz val="10"/>
        <color theme="1"/>
        <rFont val="Century Gothic"/>
        <family val="2"/>
        <scheme val="minor"/>
      </rPr>
      <t>OK.</t>
    </r>
  </si>
  <si>
    <r>
      <t xml:space="preserve">Para adicionar um estudante ao relatório de Presenças, clique num célula abaixo da coluna </t>
    </r>
    <r>
      <rPr>
        <b/>
        <sz val="10"/>
        <color theme="1"/>
        <rFont val="Century Gothic"/>
        <family val="2"/>
        <scheme val="minor"/>
      </rPr>
      <t xml:space="preserve">ID de Estudante </t>
    </r>
    <r>
      <rPr>
        <sz val="10"/>
        <color theme="1"/>
        <rFont val="Century Gothic"/>
        <family val="2"/>
        <scheme val="minor"/>
      </rPr>
      <t>e selecione um ID da lista. O nome do estudante será mostrado automaticamente depois de ser selecionado um ID.</t>
    </r>
  </si>
  <si>
    <t>Alexandre António Magão Pontes</t>
  </si>
  <si>
    <t>André Flipe Carvalho de Faria</t>
  </si>
  <si>
    <t>André Martins Fernandes da Silva</t>
  </si>
  <si>
    <t>Angélica da Luz Barreto Torres</t>
  </si>
  <si>
    <t>Fernando Augusto G. de Carvalho Moreira</t>
  </si>
  <si>
    <t>Joaquim Manuel Arantes Couto</t>
  </si>
  <si>
    <t>Jonas Miguel de Carvalho Ferreira</t>
  </si>
  <si>
    <t>João Manuel Pereira Fernandes</t>
  </si>
  <si>
    <t>Manuel José Miranda Leite</t>
  </si>
  <si>
    <t>Mário Joel Cardoso Pereira</t>
  </si>
  <si>
    <t>Bruno Ferreira Faria</t>
  </si>
  <si>
    <t>José Carlos Gonçalves Lopes</t>
  </si>
  <si>
    <t>e</t>
  </si>
  <si>
    <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</si>
</sst>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0;0;"/>
    <numFmt numFmtId="165" formatCode="mm/dd/yy;@"/>
    <numFmt numFmtId="166" formatCode="[&lt;=9999999]###\-####;\(###\)\ ###\-####"/>
    <numFmt numFmtId="167" formatCode="0;0;;@"/>
    <numFmt numFmtId="168" formatCode="_)@"/>
  </numFmts>
  <fonts count="48" x14ac:knownFonts="1">
    <font>
      <sz val="10"/>
      <color theme="1"/>
      <name val="Century Gothic"/>
      <family val="2"/>
      <scheme val="minor"/>
    </font>
    <font>
      <sz val="11"/>
      <color theme="1"/>
      <name val="Century Gothic"/>
      <family val="2"/>
      <scheme val="minor"/>
    </font>
    <font>
      <sz val="10"/>
      <name val="Century Gothic"/>
      <family val="2"/>
    </font>
    <font>
      <b/>
      <sz val="12"/>
      <name val="Arial"/>
      <family val="2"/>
    </font>
    <font>
      <sz val="9"/>
      <name val="Century Gothic"/>
      <family val="2"/>
    </font>
    <font>
      <b/>
      <sz val="20"/>
      <name val="Century Gothic"/>
      <family val="1"/>
      <scheme val="major"/>
    </font>
    <font>
      <sz val="16"/>
      <name val="Century Gothic"/>
      <family val="1"/>
      <scheme val="major"/>
    </font>
    <font>
      <b/>
      <sz val="8"/>
      <color theme="1" tint="0.14996795556505021"/>
      <name val="Century Gothic"/>
      <family val="1"/>
      <scheme val="minor"/>
    </font>
    <font>
      <sz val="8"/>
      <name val="Century Gothic"/>
      <family val="1"/>
      <scheme val="minor"/>
    </font>
    <font>
      <b/>
      <sz val="8"/>
      <color theme="1" tint="0.14996795556505021"/>
      <name val="Century Gothic"/>
      <family val="2"/>
      <scheme val="minor"/>
    </font>
    <font>
      <sz val="8"/>
      <name val="Century Gothic"/>
      <family val="2"/>
      <scheme val="minor"/>
    </font>
    <font>
      <sz val="9"/>
      <name val="Century Gothic"/>
      <family val="1"/>
      <scheme val="major"/>
    </font>
    <font>
      <b/>
      <sz val="8"/>
      <color theme="0"/>
      <name val="Century Gothic"/>
      <family val="1"/>
      <scheme val="major"/>
    </font>
    <font>
      <sz val="9"/>
      <color theme="0"/>
      <name val="Century Gothic"/>
      <family val="1"/>
      <scheme val="major"/>
    </font>
    <font>
      <sz val="10"/>
      <color theme="1"/>
      <name val="Century Gothic"/>
      <family val="1"/>
      <scheme val="major"/>
    </font>
    <font>
      <b/>
      <sz val="9"/>
      <color theme="0"/>
      <name val="Century Gothic"/>
      <family val="1"/>
      <scheme val="major"/>
    </font>
    <font>
      <sz val="10"/>
      <name val="Century Gothic"/>
      <family val="2"/>
      <scheme val="minor"/>
    </font>
    <font>
      <b/>
      <sz val="12"/>
      <name val="Century Gothic"/>
      <family val="2"/>
      <scheme val="minor"/>
    </font>
    <font>
      <sz val="10"/>
      <name val="Century Gothic"/>
      <family val="1"/>
      <scheme val="major"/>
    </font>
    <font>
      <b/>
      <sz val="22"/>
      <color theme="0"/>
      <name val="Century Gothic"/>
      <family val="2"/>
      <scheme val="major"/>
    </font>
    <font>
      <b/>
      <sz val="16"/>
      <color theme="0"/>
      <name val="Century Gothic"/>
      <family val="2"/>
      <scheme val="minor"/>
    </font>
    <font>
      <sz val="9"/>
      <name val="Century Gothic"/>
      <family val="2"/>
      <scheme val="minor"/>
    </font>
    <font>
      <b/>
      <sz val="10"/>
      <color theme="1"/>
      <name val="Century Gothic"/>
      <family val="2"/>
      <scheme val="minor"/>
    </font>
    <font>
      <sz val="10"/>
      <color theme="1"/>
      <name val="Century Gothic"/>
      <family val="2"/>
      <scheme val="major"/>
    </font>
    <font>
      <b/>
      <sz val="11"/>
      <color indexed="9"/>
      <name val="Century Gothic"/>
      <family val="1"/>
      <scheme val="major"/>
    </font>
    <font>
      <sz val="9"/>
      <color theme="1"/>
      <name val="Century Gothic"/>
      <family val="2"/>
      <scheme val="minor"/>
    </font>
    <font>
      <b/>
      <sz val="18"/>
      <color theme="0"/>
      <name val="Century Gothic"/>
      <family val="2"/>
      <scheme val="minor"/>
    </font>
    <font>
      <b/>
      <sz val="16"/>
      <color theme="0"/>
      <name val="Century Gothic"/>
      <family val="1"/>
      <scheme val="major"/>
    </font>
    <font>
      <sz val="8"/>
      <color theme="1"/>
      <name val="Century Gothic"/>
      <family val="2"/>
      <scheme val="minor"/>
    </font>
    <font>
      <b/>
      <sz val="16"/>
      <color theme="0"/>
      <name val="Century Gothic"/>
      <family val="2"/>
      <scheme val="major"/>
    </font>
    <font>
      <b/>
      <i/>
      <sz val="14"/>
      <color theme="0"/>
      <name val="Century Gothic"/>
      <family val="2"/>
      <scheme val="major"/>
    </font>
    <font>
      <sz val="12"/>
      <color theme="3"/>
      <name val="Century Gothic"/>
      <family val="2"/>
      <scheme val="minor"/>
    </font>
    <font>
      <sz val="10"/>
      <color theme="4" tint="-0.499984740745262"/>
      <name val="Century Gothic"/>
      <family val="2"/>
      <scheme val="minor"/>
    </font>
    <font>
      <u/>
      <sz val="10"/>
      <color theme="10"/>
      <name val="Arial"/>
      <family val="2"/>
    </font>
    <font>
      <b/>
      <sz val="10"/>
      <color theme="4" tint="-0.499984740745262"/>
      <name val="Century Gothic"/>
      <family val="2"/>
      <scheme val="minor"/>
    </font>
    <font>
      <b/>
      <i/>
      <sz val="10"/>
      <color theme="4" tint="-0.499984740745262"/>
      <name val="Century Gothic"/>
      <family val="2"/>
      <scheme val="minor"/>
    </font>
    <font>
      <b/>
      <sz val="9"/>
      <color theme="4" tint="-0.499984740745262"/>
      <name val="Century Gothic"/>
      <family val="1"/>
      <scheme val="major"/>
    </font>
    <font>
      <sz val="9"/>
      <name val="Century Gothic"/>
      <family val="1"/>
      <scheme val="minor"/>
    </font>
    <font>
      <b/>
      <sz val="9"/>
      <color theme="1" tint="0.14996795556505021"/>
      <name val="Century Gothic"/>
      <family val="1"/>
      <scheme val="major"/>
    </font>
    <font>
      <sz val="9"/>
      <color theme="3" tint="-0.249977111117893"/>
      <name val="Century Gothic"/>
      <family val="1"/>
      <scheme val="major"/>
    </font>
    <font>
      <b/>
      <sz val="9"/>
      <color theme="3" tint="-0.249977111117893"/>
      <name val="Century Gothic"/>
      <family val="1"/>
      <scheme val="major"/>
    </font>
    <font>
      <sz val="9"/>
      <color theme="3" tint="-0.249977111117893"/>
      <name val="Century Gothic"/>
      <family val="1"/>
      <scheme val="minor"/>
    </font>
    <font>
      <sz val="9"/>
      <color theme="1"/>
      <name val="Century Gothic"/>
      <family val="1"/>
      <scheme val="minor"/>
    </font>
    <font>
      <b/>
      <sz val="9"/>
      <color theme="1" tint="0.14996795556505021"/>
      <name val="Century Gothic"/>
      <family val="1"/>
      <scheme val="minor"/>
    </font>
    <font>
      <b/>
      <sz val="8"/>
      <name val="Century Gothic"/>
      <family val="2"/>
      <scheme val="major"/>
    </font>
    <font>
      <sz val="10"/>
      <color theme="1"/>
      <name val="Century Gothic"/>
      <family val="2"/>
      <scheme val="minor"/>
    </font>
    <font>
      <u/>
      <sz val="10"/>
      <name val="Century Gothic"/>
      <family val="2"/>
    </font>
    <font>
      <b/>
      <u/>
      <sz val="22"/>
      <color theme="0"/>
      <name val="Century Gothic"/>
      <family val="2"/>
      <scheme val="major"/>
    </font>
  </fonts>
  <fills count="13">
    <fill>
      <patternFill patternType="none"/>
    </fill>
    <fill>
      <patternFill patternType="gray125"/>
    </fill>
    <fill>
      <patternFill patternType="solid">
        <fgColor theme="4" tint="0.799981688894314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0"/>
      </patternFill>
    </fill>
    <fill>
      <patternFill patternType="lightUp">
        <fgColor theme="0" tint="-0.34998626667073579"/>
        <bgColor indexed="65"/>
      </patternFill>
    </fill>
    <fill>
      <patternFill patternType="solid">
        <fgColor theme="4"/>
        <bgColor indexed="64"/>
      </patternFill>
    </fill>
    <fill>
      <patternFill patternType="solid">
        <fgColor theme="6"/>
        <bgColor indexed="64"/>
      </patternFill>
    </fill>
    <fill>
      <patternFill patternType="solid">
        <fgColor theme="5"/>
        <bgColor indexed="64"/>
      </patternFill>
    </fill>
    <fill>
      <patternFill patternType="solid">
        <fgColor theme="8" tint="0.79998168889431442"/>
        <bgColor indexed="64"/>
      </patternFill>
    </fill>
    <fill>
      <patternFill patternType="solid">
        <fgColor theme="7"/>
        <bgColor indexed="64"/>
      </patternFill>
    </fill>
    <fill>
      <patternFill patternType="solid">
        <fgColor theme="8" tint="0.59999389629810485"/>
        <bgColor indexed="64"/>
      </patternFill>
    </fill>
  </fills>
  <borders count="16">
    <border>
      <left/>
      <right/>
      <top/>
      <bottom/>
      <diagonal/>
    </border>
    <border>
      <left style="thin">
        <color theme="3"/>
      </left>
      <right style="thin">
        <color theme="3"/>
      </right>
      <top style="thin">
        <color theme="3"/>
      </top>
      <bottom style="thin">
        <color theme="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4"/>
      </right>
      <top style="thin">
        <color theme="3"/>
      </top>
      <bottom style="thin">
        <color theme="3"/>
      </bottom>
      <diagonal/>
    </border>
    <border>
      <left/>
      <right style="thin">
        <color theme="3"/>
      </right>
      <top style="thin">
        <color theme="3"/>
      </top>
      <bottom style="thin">
        <color theme="3"/>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top style="thin">
        <color theme="3" tint="0.59996337778862885"/>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right/>
      <top/>
      <bottom style="medium">
        <color theme="4" tint="-0.499984740745262"/>
      </bottom>
      <diagonal/>
    </border>
    <border>
      <left style="thin">
        <color theme="3" tint="0.59996337778862885"/>
      </left>
      <right style="thin">
        <color theme="3" tint="0.59996337778862885"/>
      </right>
      <top/>
      <bottom style="thin">
        <color theme="3" tint="0.59996337778862885"/>
      </bottom>
      <diagonal/>
    </border>
    <border>
      <left/>
      <right style="thin">
        <color theme="0" tint="-0.34998626667073579"/>
      </right>
      <top/>
      <bottom style="medium">
        <color theme="4" tint="-0.499984740745262"/>
      </bottom>
      <diagonal/>
    </border>
    <border>
      <left style="thin">
        <color theme="0" tint="-0.34998626667073579"/>
      </left>
      <right style="thin">
        <color theme="0" tint="-0.34998626667073579"/>
      </right>
      <top/>
      <bottom style="medium">
        <color theme="4" tint="-0.499984740745262"/>
      </bottom>
      <diagonal/>
    </border>
    <border>
      <left style="thin">
        <color theme="3" tint="0.59996337778862885"/>
      </left>
      <right style="thin">
        <color theme="3" tint="0.59996337778862885"/>
      </right>
      <top style="thin">
        <color theme="3" tint="0.59996337778862885"/>
      </top>
      <bottom/>
      <diagonal/>
    </border>
  </borders>
  <cellStyleXfs count="13">
    <xf numFmtId="0" fontId="0" fillId="0" borderId="0"/>
    <xf numFmtId="0" fontId="19" fillId="0" borderId="0" applyNumberFormat="0" applyFill="0" applyBorder="0" applyAlignment="0" applyProtection="0"/>
    <xf numFmtId="0" fontId="7" fillId="3" borderId="2">
      <alignment vertical="center"/>
    </xf>
    <xf numFmtId="0" fontId="8" fillId="0" borderId="2">
      <alignment horizontal="left" vertical="center" wrapText="1"/>
      <protection locked="0"/>
    </xf>
    <xf numFmtId="165" fontId="8" fillId="0" borderId="2">
      <alignment horizontal="left" vertical="center" wrapText="1"/>
      <protection locked="0"/>
    </xf>
    <xf numFmtId="166" fontId="8" fillId="0" borderId="2">
      <alignment horizontal="left" vertical="center" wrapText="1"/>
      <protection locked="0"/>
    </xf>
    <xf numFmtId="0" fontId="9" fillId="4" borderId="3" applyBorder="0">
      <alignment horizontal="center" vertical="center"/>
    </xf>
    <xf numFmtId="1" fontId="9" fillId="4" borderId="2">
      <alignment horizontal="center" vertical="center"/>
    </xf>
    <xf numFmtId="0" fontId="10" fillId="5" borderId="2">
      <alignment horizontal="center" vertical="center"/>
      <protection locked="0"/>
    </xf>
    <xf numFmtId="0" fontId="10" fillId="6" borderId="2">
      <alignment horizontal="center" vertical="center"/>
    </xf>
    <xf numFmtId="0" fontId="20" fillId="0" borderId="0" applyNumberForma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cellStyleXfs>
  <cellXfs count="138">
    <xf numFmtId="0" fontId="0" fillId="0" borderId="0" xfId="0"/>
    <xf numFmtId="0" fontId="2" fillId="0" borderId="0" xfId="0" applyFont="1" applyAlignment="1">
      <alignment vertical="center"/>
    </xf>
    <xf numFmtId="0" fontId="4" fillId="0" borderId="0" xfId="0" applyFont="1"/>
    <xf numFmtId="0" fontId="0" fillId="0" borderId="0" xfId="0" applyAlignment="1">
      <alignment horizontal="center" vertical="center"/>
    </xf>
    <xf numFmtId="0" fontId="0" fillId="0" borderId="0" xfId="0"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164" fontId="0" fillId="0" borderId="0" xfId="0" applyNumberFormat="1" applyAlignment="1">
      <alignment horizontal="center" vertical="center"/>
    </xf>
    <xf numFmtId="0" fontId="2" fillId="0" borderId="0" xfId="0" applyFont="1" applyAlignment="1">
      <alignment horizontal="center" vertical="center"/>
    </xf>
    <xf numFmtId="0" fontId="2" fillId="0" borderId="0" xfId="0" applyFont="1" applyAlignment="1">
      <alignment horizontal="right" indent="2"/>
    </xf>
    <xf numFmtId="0" fontId="2" fillId="0" borderId="0" xfId="0" applyFont="1" applyAlignment="1">
      <alignment horizontal="center"/>
    </xf>
    <xf numFmtId="0" fontId="2" fillId="0" borderId="0" xfId="0" applyFont="1"/>
    <xf numFmtId="49" fontId="2" fillId="0" borderId="0" xfId="0" applyNumberFormat="1" applyFont="1"/>
    <xf numFmtId="0" fontId="0" fillId="0" borderId="0" xfId="0" applyAlignment="1">
      <alignment horizontal="left"/>
    </xf>
    <xf numFmtId="0" fontId="0" fillId="0" borderId="0" xfId="0" applyAlignment="1">
      <alignment horizontal="center" wrapText="1"/>
    </xf>
    <xf numFmtId="0" fontId="0" fillId="0" borderId="0" xfId="0" applyAlignment="1">
      <alignment horizontal="center"/>
    </xf>
    <xf numFmtId="14" fontId="0" fillId="0" borderId="0" xfId="0" applyNumberFormat="1" applyAlignment="1">
      <alignment horizontal="center"/>
    </xf>
    <xf numFmtId="166" fontId="0" fillId="0" borderId="0" xfId="0" applyNumberFormat="1" applyAlignment="1">
      <alignment horizontal="left"/>
    </xf>
    <xf numFmtId="166" fontId="0" fillId="0" borderId="0" xfId="0" applyNumberFormat="1" applyAlignment="1">
      <alignment horizontal="center"/>
    </xf>
    <xf numFmtId="164" fontId="0" fillId="0" borderId="0" xfId="0" applyNumberFormat="1" applyAlignment="1">
      <alignment vertical="center" wrapText="1"/>
    </xf>
    <xf numFmtId="167" fontId="0" fillId="0" borderId="0" xfId="0" applyNumberFormat="1"/>
    <xf numFmtId="167" fontId="0" fillId="0" borderId="0" xfId="0" applyNumberFormat="1" applyAlignment="1">
      <alignment vertical="center" wrapText="1"/>
    </xf>
    <xf numFmtId="164" fontId="0" fillId="0" borderId="0" xfId="0" applyNumberFormat="1" applyAlignment="1" applyProtection="1">
      <alignment horizontal="center" vertical="center"/>
      <protection locked="0"/>
    </xf>
    <xf numFmtId="167"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Protection="1">
      <protection locked="0"/>
    </xf>
    <xf numFmtId="0" fontId="14" fillId="0" borderId="0" xfId="0" applyFont="1" applyAlignment="1">
      <alignment vertical="center"/>
    </xf>
    <xf numFmtId="49" fontId="14" fillId="0" borderId="0" xfId="0" applyNumberFormat="1" applyFont="1" applyAlignment="1">
      <alignment horizontal="left" vertical="center"/>
    </xf>
    <xf numFmtId="0" fontId="14" fillId="0" borderId="0" xfId="0" applyFont="1" applyAlignment="1">
      <alignment horizontal="center" vertical="center"/>
    </xf>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7" fillId="0" borderId="0" xfId="0" applyFont="1" applyAlignment="1">
      <alignment horizontal="right" vertical="center"/>
    </xf>
    <xf numFmtId="0" fontId="16" fillId="0" borderId="0" xfId="0" applyFont="1" applyAlignment="1">
      <alignment horizontal="center" vertical="center"/>
    </xf>
    <xf numFmtId="0" fontId="18" fillId="10" borderId="0" xfId="0" applyFont="1" applyFill="1" applyAlignment="1">
      <alignment horizontal="center"/>
    </xf>
    <xf numFmtId="164" fontId="0" fillId="0" borderId="0" xfId="0" applyNumberFormat="1" applyAlignment="1">
      <alignment horizontal="center"/>
    </xf>
    <xf numFmtId="0" fontId="18" fillId="9" borderId="0" xfId="0" applyFont="1" applyFill="1" applyAlignment="1">
      <alignment horizontal="center"/>
    </xf>
    <xf numFmtId="0" fontId="18" fillId="8" borderId="0" xfId="0" applyFont="1" applyFill="1" applyAlignment="1">
      <alignment horizontal="center"/>
    </xf>
    <xf numFmtId="49" fontId="19" fillId="7" borderId="0" xfId="1" applyNumberFormat="1" applyFill="1" applyAlignment="1">
      <alignment vertical="center"/>
    </xf>
    <xf numFmtId="0" fontId="2" fillId="7" borderId="0" xfId="0" applyFont="1" applyFill="1" applyAlignment="1">
      <alignment vertical="center"/>
    </xf>
    <xf numFmtId="0" fontId="0" fillId="7" borderId="0" xfId="0" applyFill="1" applyAlignment="1">
      <alignment vertical="center"/>
    </xf>
    <xf numFmtId="0" fontId="3" fillId="7" borderId="0" xfId="0" applyFont="1" applyFill="1" applyAlignment="1">
      <alignment vertical="center"/>
    </xf>
    <xf numFmtId="0" fontId="2" fillId="7" borderId="0" xfId="0" applyFont="1" applyFill="1" applyAlignment="1">
      <alignment horizontal="center" vertical="center"/>
    </xf>
    <xf numFmtId="0" fontId="13" fillId="7" borderId="1" xfId="0" applyFont="1" applyFill="1" applyBorder="1" applyAlignment="1">
      <alignment horizontal="center"/>
    </xf>
    <xf numFmtId="0" fontId="0" fillId="7" borderId="0" xfId="0" applyFill="1"/>
    <xf numFmtId="0" fontId="21" fillId="0" borderId="0" xfId="0" applyFont="1" applyAlignment="1">
      <alignment horizontal="right" vertical="center"/>
    </xf>
    <xf numFmtId="49" fontId="0" fillId="0" borderId="0" xfId="0" applyNumberFormat="1" applyAlignment="1">
      <alignment horizontal="left" vertical="center"/>
    </xf>
    <xf numFmtId="164" fontId="0" fillId="0" borderId="0" xfId="0" applyNumberFormat="1"/>
    <xf numFmtId="0" fontId="23" fillId="0" borderId="0" xfId="0" applyFont="1" applyAlignment="1">
      <alignment horizontal="left" vertical="center"/>
    </xf>
    <xf numFmtId="0" fontId="25" fillId="11" borderId="0" xfId="0" applyFont="1" applyFill="1" applyAlignment="1">
      <alignment horizontal="center" vertical="center"/>
    </xf>
    <xf numFmtId="0" fontId="25" fillId="9" borderId="0" xfId="0" applyFont="1" applyFill="1" applyAlignment="1">
      <alignment horizontal="center" vertical="center"/>
    </xf>
    <xf numFmtId="0" fontId="25" fillId="8" borderId="0" xfId="0" applyFont="1" applyFill="1" applyAlignment="1">
      <alignment horizontal="center" vertical="center"/>
    </xf>
    <xf numFmtId="0" fontId="25" fillId="10" borderId="0" xfId="0" applyFont="1" applyFill="1" applyAlignment="1">
      <alignment horizontal="center" vertical="center"/>
    </xf>
    <xf numFmtId="0" fontId="25" fillId="12" borderId="0" xfId="0" applyFont="1" applyFill="1" applyAlignment="1">
      <alignment horizontal="center" vertical="center"/>
    </xf>
    <xf numFmtId="0" fontId="25" fillId="0" borderId="0" xfId="0" applyFont="1" applyAlignment="1">
      <alignment vertical="center"/>
    </xf>
    <xf numFmtId="0" fontId="26" fillId="7" borderId="0" xfId="0" applyFont="1" applyFill="1" applyAlignment="1">
      <alignment horizontal="right" vertical="center"/>
    </xf>
    <xf numFmtId="0" fontId="26" fillId="7" borderId="0" xfId="0" applyFont="1" applyFill="1" applyAlignment="1">
      <alignment horizontal="center" vertical="center"/>
    </xf>
    <xf numFmtId="0" fontId="11" fillId="7" borderId="7" xfId="0" applyFont="1" applyFill="1" applyBorder="1"/>
    <xf numFmtId="17" fontId="24" fillId="7" borderId="4" xfId="0" applyNumberFormat="1" applyFont="1" applyFill="1" applyBorder="1" applyAlignment="1">
      <alignment horizontal="left" vertical="center"/>
    </xf>
    <xf numFmtId="0" fontId="5" fillId="7" borderId="0" xfId="0" applyFont="1" applyFill="1" applyAlignment="1">
      <alignment vertical="center"/>
    </xf>
    <xf numFmtId="0" fontId="6" fillId="7" borderId="0" xfId="0" applyFont="1" applyFill="1" applyAlignment="1">
      <alignment horizontal="right" vertical="center"/>
    </xf>
    <xf numFmtId="0" fontId="19" fillId="7" borderId="0" xfId="1" applyFill="1" applyAlignment="1">
      <alignment vertical="center"/>
    </xf>
    <xf numFmtId="167" fontId="8" fillId="0" borderId="0" xfId="3" applyNumberFormat="1" applyBorder="1" applyAlignment="1" applyProtection="1">
      <alignment horizontal="left" vertical="center" wrapText="1" indent="1"/>
    </xf>
    <xf numFmtId="166" fontId="8" fillId="0" borderId="0" xfId="5" applyBorder="1" applyAlignment="1" applyProtection="1">
      <alignment horizontal="left" vertical="center" wrapText="1" indent="1"/>
    </xf>
    <xf numFmtId="0" fontId="25" fillId="0" borderId="0" xfId="0" applyFont="1" applyAlignment="1">
      <alignment horizontal="left" vertic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18" fillId="11" borderId="0" xfId="0" applyFont="1" applyFill="1" applyAlignment="1">
      <alignment horizontal="center"/>
    </xf>
    <xf numFmtId="0" fontId="28" fillId="0" borderId="0" xfId="0" applyFont="1"/>
    <xf numFmtId="0" fontId="28" fillId="11" borderId="0" xfId="0" applyFont="1" applyFill="1" applyAlignment="1">
      <alignment horizontal="center"/>
    </xf>
    <xf numFmtId="0" fontId="28" fillId="9" borderId="0" xfId="0" applyFont="1" applyFill="1" applyAlignment="1">
      <alignment horizontal="center"/>
    </xf>
    <xf numFmtId="0" fontId="28" fillId="8" borderId="0" xfId="0" applyFont="1" applyFill="1" applyAlignment="1">
      <alignment horizontal="center"/>
    </xf>
    <xf numFmtId="0" fontId="28" fillId="10" borderId="0" xfId="0" applyFont="1" applyFill="1" applyAlignment="1">
      <alignment horizontal="center"/>
    </xf>
    <xf numFmtId="0" fontId="28" fillId="12" borderId="0" xfId="0" applyFont="1" applyFill="1" applyAlignment="1">
      <alignment horizontal="center"/>
    </xf>
    <xf numFmtId="167" fontId="10" fillId="0" borderId="0" xfId="3" applyNumberFormat="1" applyFont="1" applyBorder="1" applyAlignment="1" applyProtection="1">
      <alignment horizontal="left"/>
    </xf>
    <xf numFmtId="167" fontId="10" fillId="0" borderId="0" xfId="3" applyNumberFormat="1" applyFont="1" applyBorder="1" applyAlignment="1" applyProtection="1">
      <alignment horizontal="left" vertical="center" wrapText="1" indent="1"/>
    </xf>
    <xf numFmtId="166" fontId="10" fillId="0" borderId="0" xfId="5" applyFont="1" applyBorder="1" applyAlignment="1" applyProtection="1">
      <alignment horizontal="left" vertical="center" wrapText="1" indent="1"/>
    </xf>
    <xf numFmtId="167" fontId="29" fillId="7" borderId="0" xfId="1" applyNumberFormat="1" applyFont="1" applyFill="1" applyAlignment="1">
      <alignment vertical="center"/>
    </xf>
    <xf numFmtId="0" fontId="30" fillId="7" borderId="0" xfId="1" applyFont="1" applyFill="1" applyAlignment="1">
      <alignment horizontal="left" vertical="center" indent="1"/>
    </xf>
    <xf numFmtId="0" fontId="1" fillId="7" borderId="0" xfId="0" applyFont="1" applyFill="1"/>
    <xf numFmtId="0" fontId="0" fillId="0" borderId="0" xfId="0" applyAlignment="1">
      <alignment horizontal="center" vertical="center" wrapText="1"/>
    </xf>
    <xf numFmtId="0" fontId="0" fillId="0" borderId="0" xfId="0" applyAlignment="1">
      <alignment horizontal="left" vertical="center" wrapText="1"/>
    </xf>
    <xf numFmtId="0" fontId="19" fillId="7" borderId="0" xfId="1" applyFill="1" applyAlignment="1">
      <alignment horizontal="left" vertical="center" indent="1"/>
    </xf>
    <xf numFmtId="0" fontId="31" fillId="0" borderId="0" xfId="11"/>
    <xf numFmtId="0" fontId="0" fillId="0" borderId="0" xfId="0" applyAlignment="1">
      <alignment wrapText="1"/>
    </xf>
    <xf numFmtId="0" fontId="0" fillId="0" borderId="0" xfId="0" applyAlignment="1">
      <alignment vertical="top"/>
    </xf>
    <xf numFmtId="0" fontId="0" fillId="0" borderId="0" xfId="0" applyAlignment="1">
      <alignment vertical="top" wrapText="1"/>
    </xf>
    <xf numFmtId="49" fontId="0" fillId="11" borderId="0" xfId="0" applyNumberFormat="1" applyFill="1" applyAlignment="1">
      <alignment horizontal="center"/>
    </xf>
    <xf numFmtId="0" fontId="0" fillId="0" borderId="0" xfId="0" quotePrefix="1" applyAlignment="1">
      <alignment vertical="top"/>
    </xf>
    <xf numFmtId="0" fontId="0" fillId="0" borderId="0" xfId="0" applyAlignment="1">
      <alignment vertical="center" wrapText="1"/>
    </xf>
    <xf numFmtId="0" fontId="31" fillId="0" borderId="0" xfId="11" applyAlignment="1">
      <alignment vertical="top"/>
    </xf>
    <xf numFmtId="168" fontId="36" fillId="2" borderId="9" xfId="2" applyNumberFormat="1" applyFont="1" applyFill="1" applyBorder="1">
      <alignment vertical="center"/>
    </xf>
    <xf numFmtId="168" fontId="36" fillId="2" borderId="10" xfId="2" applyNumberFormat="1" applyFont="1" applyFill="1" applyBorder="1">
      <alignment vertical="center"/>
    </xf>
    <xf numFmtId="0" fontId="37" fillId="0" borderId="8" xfId="3" applyFont="1" applyBorder="1" applyAlignment="1">
      <alignment horizontal="center" vertical="center" wrapText="1"/>
      <protection locked="0"/>
    </xf>
    <xf numFmtId="0" fontId="39" fillId="2" borderId="12" xfId="0" applyFont="1" applyFill="1" applyBorder="1" applyAlignment="1">
      <alignment horizontal="center" vertical="center"/>
    </xf>
    <xf numFmtId="164" fontId="41" fillId="0" borderId="8" xfId="8" applyNumberFormat="1" applyFont="1" applyFill="1" applyBorder="1" applyProtection="1">
      <alignment horizontal="center" vertical="center"/>
    </xf>
    <xf numFmtId="164" fontId="39" fillId="2" borderId="8" xfId="0" applyNumberFormat="1" applyFont="1" applyFill="1" applyBorder="1" applyAlignment="1">
      <alignment horizontal="center" vertical="center"/>
    </xf>
    <xf numFmtId="0" fontId="42" fillId="0" borderId="0" xfId="0" applyFont="1"/>
    <xf numFmtId="0" fontId="37" fillId="0" borderId="0" xfId="0" applyFont="1"/>
    <xf numFmtId="164" fontId="40" fillId="0" borderId="8" xfId="7" applyNumberFormat="1" applyFont="1" applyFill="1" applyBorder="1">
      <alignment horizontal="center" vertical="center"/>
    </xf>
    <xf numFmtId="0" fontId="36" fillId="2" borderId="8" xfId="2" applyFont="1" applyFill="1" applyBorder="1">
      <alignment vertical="center"/>
    </xf>
    <xf numFmtId="0" fontId="44" fillId="11" borderId="13" xfId="0" applyFont="1" applyFill="1" applyBorder="1" applyAlignment="1">
      <alignment horizontal="center" vertical="center"/>
    </xf>
    <xf numFmtId="0" fontId="44" fillId="9" borderId="14" xfId="0" applyFont="1" applyFill="1" applyBorder="1" applyAlignment="1">
      <alignment horizontal="center" vertical="center"/>
    </xf>
    <xf numFmtId="0" fontId="44" fillId="8" borderId="14" xfId="0" applyFont="1" applyFill="1" applyBorder="1" applyAlignment="1">
      <alignment horizontal="center" vertical="center"/>
    </xf>
    <xf numFmtId="0" fontId="44" fillId="10" borderId="14" xfId="0" applyFont="1" applyFill="1" applyBorder="1" applyAlignment="1">
      <alignment horizontal="center" vertical="center"/>
    </xf>
    <xf numFmtId="0" fontId="45" fillId="0" borderId="0" xfId="0" applyFont="1" applyAlignment="1">
      <alignment horizontal="center" vertical="center"/>
    </xf>
    <xf numFmtId="0" fontId="45" fillId="0" borderId="0" xfId="0" applyFont="1" applyAlignment="1">
      <alignment horizontal="left" vertical="center"/>
    </xf>
    <xf numFmtId="164" fontId="45" fillId="0" borderId="0" xfId="0" applyNumberFormat="1" applyFont="1" applyAlignment="1">
      <alignment horizontal="center" vertical="center"/>
    </xf>
    <xf numFmtId="0" fontId="46" fillId="0" borderId="0" xfId="0" applyFont="1" applyAlignment="1">
      <alignment horizontal="center"/>
    </xf>
    <xf numFmtId="49" fontId="47" fillId="7" borderId="0" xfId="1" applyNumberFormat="1" applyFont="1" applyFill="1" applyAlignment="1">
      <alignment vertical="center"/>
    </xf>
    <xf numFmtId="164" fontId="2" fillId="0" borderId="0" xfId="0" applyNumberFormat="1" applyFont="1" applyAlignment="1">
      <alignment horizontal="center"/>
    </xf>
    <xf numFmtId="0" fontId="0" fillId="0" borderId="0" xfId="0" applyAlignment="1">
      <alignment vertical="center" wrapText="1"/>
    </xf>
    <xf numFmtId="0" fontId="0" fillId="0" borderId="0" xfId="0" applyAlignment="1">
      <alignment vertical="top" wrapText="1"/>
    </xf>
    <xf numFmtId="0" fontId="0" fillId="0" borderId="0" xfId="0" applyAlignment="1">
      <alignment wrapText="1"/>
    </xf>
    <xf numFmtId="0" fontId="33" fillId="0" borderId="0" xfId="12" quotePrefix="1" applyAlignment="1">
      <alignment vertical="top" wrapText="1"/>
    </xf>
    <xf numFmtId="0" fontId="15" fillId="7" borderId="4" xfId="0" applyFont="1" applyFill="1" applyBorder="1" applyAlignment="1">
      <alignment horizontal="center"/>
    </xf>
    <xf numFmtId="0" fontId="15" fillId="7" borderId="5" xfId="0" applyFont="1" applyFill="1" applyBorder="1" applyAlignment="1">
      <alignment horizontal="center"/>
    </xf>
    <xf numFmtId="0" fontId="15" fillId="7" borderId="6" xfId="0" applyFont="1" applyFill="1" applyBorder="1" applyAlignment="1">
      <alignment horizontal="center"/>
    </xf>
    <xf numFmtId="0" fontId="15" fillId="7" borderId="1" xfId="0" applyFont="1" applyFill="1" applyBorder="1" applyAlignment="1">
      <alignment horizontal="center"/>
    </xf>
    <xf numFmtId="164" fontId="40" fillId="0" borderId="15" xfId="7" applyNumberFormat="1" applyFont="1" applyFill="1" applyBorder="1">
      <alignment horizontal="center" vertical="center"/>
    </xf>
    <xf numFmtId="164" fontId="40" fillId="0" borderId="12" xfId="7" applyNumberFormat="1" applyFont="1" applyFill="1" applyBorder="1">
      <alignment horizontal="center" vertical="center"/>
    </xf>
    <xf numFmtId="0" fontId="43" fillId="0" borderId="0" xfId="0" applyFont="1" applyAlignment="1">
      <alignment horizontal="right" vertical="center"/>
    </xf>
    <xf numFmtId="0" fontId="38" fillId="2" borderId="8" xfId="6" applyFont="1" applyFill="1" applyBorder="1">
      <alignment horizontal="center" vertical="center"/>
    </xf>
    <xf numFmtId="164" fontId="40" fillId="0" borderId="8" xfId="7" applyNumberFormat="1" applyFont="1" applyFill="1" applyBorder="1">
      <alignment horizontal="center" vertical="center"/>
    </xf>
    <xf numFmtId="0" fontId="38" fillId="2" borderId="15" xfId="6" applyFont="1" applyFill="1" applyBorder="1">
      <alignment horizontal="center" vertical="center"/>
    </xf>
    <xf numFmtId="0" fontId="38" fillId="2" borderId="12" xfId="6" applyFont="1" applyFill="1" applyBorder="1">
      <alignment horizontal="center" vertical="center"/>
    </xf>
    <xf numFmtId="0" fontId="12" fillId="7" borderId="0" xfId="0" applyFont="1" applyFill="1" applyAlignment="1">
      <alignment horizontal="center" vertical="center"/>
    </xf>
    <xf numFmtId="0" fontId="37" fillId="0" borderId="8" xfId="3" applyFont="1" applyBorder="1" applyAlignment="1">
      <alignment horizontal="left" vertical="center" wrapText="1" indent="1"/>
      <protection locked="0"/>
    </xf>
    <xf numFmtId="167" fontId="37" fillId="0" borderId="8" xfId="3" applyNumberFormat="1" applyFont="1" applyBorder="1" applyAlignment="1" applyProtection="1">
      <alignment horizontal="left" vertical="center" wrapText="1" indent="1"/>
    </xf>
    <xf numFmtId="168" fontId="36" fillId="2" borderId="8" xfId="2" applyNumberFormat="1" applyFont="1" applyFill="1" applyBorder="1">
      <alignment vertical="center"/>
    </xf>
    <xf numFmtId="0" fontId="27" fillId="7" borderId="0" xfId="0" applyFont="1" applyFill="1" applyAlignment="1">
      <alignment horizontal="center" vertical="center"/>
    </xf>
    <xf numFmtId="0" fontId="27" fillId="7" borderId="11" xfId="0" applyFont="1" applyFill="1" applyBorder="1" applyAlignment="1">
      <alignment horizontal="center" vertical="center"/>
    </xf>
    <xf numFmtId="0" fontId="36" fillId="2" borderId="8" xfId="2" applyFont="1" applyFill="1" applyBorder="1">
      <alignment vertical="center"/>
    </xf>
    <xf numFmtId="0" fontId="37" fillId="0" borderId="8" xfId="3" applyFont="1" applyBorder="1" applyAlignment="1">
      <alignment horizontal="center" vertical="center" wrapText="1"/>
      <protection locked="0"/>
    </xf>
    <xf numFmtId="166" fontId="37" fillId="0" borderId="8" xfId="5" applyFont="1" applyBorder="1" applyAlignment="1" applyProtection="1">
      <alignment horizontal="left" vertical="center" wrapText="1" indent="1"/>
    </xf>
    <xf numFmtId="167" fontId="37" fillId="0" borderId="8" xfId="3" applyNumberFormat="1" applyFont="1" applyBorder="1" applyAlignment="1" applyProtection="1">
      <alignment horizontal="center" vertical="center" wrapText="1"/>
    </xf>
    <xf numFmtId="14" fontId="37" fillId="0" borderId="8" xfId="4" applyNumberFormat="1" applyFont="1" applyBorder="1" applyAlignment="1" applyProtection="1">
      <alignment horizontal="center" vertical="center" wrapText="1"/>
    </xf>
  </cellXfs>
  <cellStyles count="13">
    <cellStyle name="Attendance Totals" xfId="7" xr:uid="{00000000-0005-0000-0000-000000000000}"/>
    <cellStyle name="Birthdate" xfId="4" xr:uid="{00000000-0005-0000-0000-000001000000}"/>
    <cellStyle name="Cabeçalho 1" xfId="10" builtinId="16" customBuiltin="1"/>
    <cellStyle name="Cabeçalho 2" xfId="11" builtinId="17" customBuiltin="1"/>
    <cellStyle name="Hiperligação" xfId="12" builtinId="8"/>
    <cellStyle name="Month" xfId="6" xr:uid="{00000000-0005-0000-0000-000005000000}"/>
    <cellStyle name="Normal" xfId="0" builtinId="0" customBuiltin="1"/>
    <cellStyle name="Phone Number" xfId="5" xr:uid="{00000000-0005-0000-0000-000007000000}"/>
    <cellStyle name="Student Information" xfId="2" xr:uid="{00000000-0005-0000-0000-000008000000}"/>
    <cellStyle name="Student Information - user entered" xfId="3" xr:uid="{00000000-0005-0000-0000-000009000000}"/>
    <cellStyle name="Título" xfId="1" builtinId="15" customBuiltin="1"/>
    <cellStyle name="Weekday" xfId="8" xr:uid="{00000000-0005-0000-0000-00000B000000}"/>
    <cellStyle name="Weekend" xfId="9" xr:uid="{00000000-0005-0000-0000-00000C000000}"/>
  </cellStyles>
  <dxfs count="1000">
    <dxf>
      <numFmt numFmtId="164" formatCode="0;0;"/>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alignment horizontal="left" vertical="center" textRotation="0" wrapText="0" indent="0" justifyLastLine="0" shrinkToFit="0" readingOrder="0"/>
    </dxf>
    <dxf>
      <alignment horizontal="center" vertical="center" textRotation="0" wrapText="0" indent="0" justifyLastLine="0" shrinkToFit="0" readingOrder="0"/>
    </dxf>
    <dxf>
      <font>
        <color theme="4" tint="0.79998168889431442"/>
      </font>
    </dxf>
    <dxf>
      <fill>
        <patternFill>
          <bgColor theme="8" tint="0.59996337778862885"/>
        </patternFill>
      </fill>
    </dxf>
    <dxf>
      <fill>
        <patternFill>
          <bgColor theme="8" tint="0.79998168889431442"/>
        </patternFill>
      </fill>
    </dxf>
    <dxf>
      <fill>
        <patternFill>
          <bgColor theme="6"/>
        </patternFill>
      </fill>
    </dxf>
    <dxf>
      <fill>
        <patternFill>
          <bgColor theme="5"/>
        </patternFill>
      </fill>
    </dxf>
    <dxf>
      <fill>
        <patternFill>
          <bgColor theme="7"/>
        </patternFill>
      </fill>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numFmt numFmtId="167" formatCode="0;0;;@"/>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name val="Century Gothic"/>
        <scheme val="major"/>
      </font>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numFmt numFmtId="167" formatCode="0;0;;@"/>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name val="Century Gothic"/>
        <scheme val="major"/>
      </font>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numFmt numFmtId="167" formatCode="0;0;;@"/>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name val="Century Gothic"/>
        <scheme val="major"/>
      </font>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numFmt numFmtId="167" formatCode="0;0;;@"/>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name val="Century Gothic"/>
        <scheme val="major"/>
      </font>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numFmt numFmtId="167" formatCode="0;0;;@"/>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name val="Century Gothic"/>
        <scheme val="major"/>
      </font>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numFmt numFmtId="167" formatCode="0;0;;@"/>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name val="Century Gothic"/>
        <scheme val="major"/>
      </font>
    </dxf>
    <dxf>
      <font>
        <color theme="4" tint="0.79998168889431442"/>
      </font>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ont>
        <color theme="4"/>
      </font>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numFmt numFmtId="167" formatCode="0;0;;@"/>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name val="Century Gothic"/>
        <scheme val="major"/>
      </font>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numFmt numFmtId="164" formatCode="0;0;"/>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numFmt numFmtId="164" formatCode="0;0;"/>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numFmt numFmtId="164" formatCode="0;0;"/>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numFmt numFmtId="164" formatCode="0;0;"/>
      <alignment horizontal="center" textRotation="0" wrapText="0" indent="0" justifyLastLine="0" shrinkToFit="0" readingOrder="0"/>
    </dxf>
    <dxf>
      <numFmt numFmtId="164" formatCode="0;0;"/>
      <alignment horizontal="center" textRotation="0" wrapText="0" indent="0" justifyLastLine="0" shrinkToFit="0" readingOrder="0"/>
    </dxf>
    <dxf>
      <numFmt numFmtId="164" formatCode="0;0;"/>
      <alignment horizontal="center" textRotation="0" wrapText="0" indent="0" justifyLastLine="0" shrinkToFit="0" readingOrder="0"/>
    </dxf>
    <dxf>
      <alignment horizontal="center" textRotation="0" wrapText="0" indent="0" justifyLastLine="0" shrinkToFit="0" readingOrder="0"/>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ont>
        <b val="0"/>
        <i val="0"/>
        <strike val="0"/>
        <condense val="0"/>
        <extend val="0"/>
        <outline val="0"/>
        <shadow val="0"/>
        <u val="none"/>
        <vertAlign val="baseline"/>
        <sz val="10"/>
        <color theme="1"/>
        <name val="Century Gothic"/>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textRotation="0" wrapText="0" indent="0" justifyLastLine="0" shrinkToFit="0" readingOrder="0"/>
    </dxf>
    <dxf>
      <font>
        <b val="0"/>
        <i val="0"/>
        <strike val="0"/>
        <condense val="0"/>
        <extend val="0"/>
        <outline val="0"/>
        <shadow val="0"/>
        <u val="none"/>
        <vertAlign val="baseline"/>
        <sz val="10"/>
        <color theme="1"/>
        <name val="Century Gothic"/>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textRotation="0" wrapText="0" indent="0" justifyLastLine="0" shrinkToFit="0" readingOrder="0"/>
    </dxf>
    <dxf>
      <font>
        <b val="0"/>
        <i val="0"/>
        <strike val="0"/>
        <condense val="0"/>
        <extend val="0"/>
        <outline val="0"/>
        <shadow val="0"/>
        <u val="none"/>
        <vertAlign val="baseline"/>
        <sz val="10"/>
        <color theme="1"/>
        <name val="Century Gothic"/>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textRotation="0" wrapText="0" indent="0" justifyLastLine="0" shrinkToFit="0" readingOrder="0"/>
    </dxf>
    <dxf>
      <font>
        <b val="0"/>
        <i val="0"/>
        <strike val="0"/>
        <condense val="0"/>
        <extend val="0"/>
        <outline val="0"/>
        <shadow val="0"/>
        <u val="none"/>
        <vertAlign val="baseline"/>
        <sz val="10"/>
        <color theme="1"/>
        <name val="Century Gothic"/>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textRotation="0" wrapText="0" indent="0" justifyLastLine="0" shrinkToFit="0" readingOrder="0"/>
    </dxf>
    <dxf>
      <font>
        <b val="0"/>
        <i val="0"/>
        <strike val="0"/>
        <condense val="0"/>
        <extend val="0"/>
        <outline val="0"/>
        <shadow val="0"/>
        <u val="none"/>
        <vertAlign val="baseline"/>
        <sz val="10"/>
        <color theme="1"/>
        <name val="Century Gothic"/>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family val="2"/>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numFmt numFmtId="164" formatCode="0;0;"/>
      <fill>
        <patternFill patternType="none">
          <fgColor indexed="64"/>
          <bgColor indexed="65"/>
        </patternFill>
      </fill>
    </dxf>
    <dxf>
      <font>
        <b val="0"/>
        <i val="0"/>
        <strike val="0"/>
        <condense val="0"/>
        <extend val="0"/>
        <outline val="0"/>
        <shadow val="0"/>
        <u val="none"/>
        <vertAlign val="baseline"/>
        <sz val="10"/>
        <color theme="1"/>
        <name val="Century Gothic"/>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numFmt numFmtId="0" formatCode="General"/>
      <alignment horizontal="left" vertical="bottom" textRotation="0" wrapText="0" indent="0" justifyLastLine="0" shrinkToFit="0" readingOrder="0"/>
    </dxf>
    <dxf>
      <numFmt numFmtId="166" formatCode="[&lt;=9999999]###\-####;\(###\)\ ###\-####"/>
      <alignment horizontal="center" vertical="bottom" textRotation="0" wrapText="0" indent="0" justifyLastLine="0" shrinkToFit="0" readingOrder="0"/>
    </dxf>
    <dxf>
      <numFmt numFmtId="166" formatCode="[&lt;=9999999]###\-####;\(###\)\ ###\-####"/>
      <alignment horizontal="center"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numFmt numFmtId="166" formatCode="[&lt;=9999999]###\-####;\(###\)\ ###\-####"/>
      <alignment horizontal="center" vertical="bottom" textRotation="0" wrapText="0" indent="0" justifyLastLine="0" shrinkToFit="0" readingOrder="0"/>
    </dxf>
    <dxf>
      <numFmt numFmtId="166" formatCode="[&lt;=9999999]###\-####;\(###\)\ ###\-####"/>
      <alignment horizontal="center" vertical="bottom" textRotation="0" wrapText="0" indent="0" justifyLastLine="0" shrinkToFit="0" readingOrder="0"/>
    </dxf>
    <dxf>
      <numFmt numFmtId="166" formatCode="[&lt;=9999999]###\-####;\(###\)\ ###\-####"/>
      <alignment horizontal="left" vertical="bottom" textRotation="0" wrapText="0" indent="0" justifyLastLine="0" shrinkToFit="0" readingOrder="0"/>
    </dxf>
    <dxf>
      <numFmt numFmtId="166" formatCode="[&lt;=9999999]###\-####;\(###\)\ ###\-####"/>
      <alignment horizontal="left" vertical="bottom" textRotation="0" wrapText="0" indent="0" justifyLastLine="0" shrinkToFit="0" readingOrder="0"/>
    </dxf>
    <dxf>
      <numFmt numFmtId="166" formatCode="[&lt;=9999999]###\-####;\(###\)\ ###\-####"/>
      <alignment horizontal="center" vertical="bottom" textRotation="0" wrapText="0" indent="0" justifyLastLine="0" shrinkToFit="0" readingOrder="0"/>
    </dxf>
    <dxf>
      <numFmt numFmtId="166" formatCode="[&lt;=9999999]###\-####;\(###\)\ ###\-####"/>
      <alignment horizontal="center"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numFmt numFmtId="19" formatCode="dd/mm/yyyy"/>
      <alignment horizontal="center"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alignment horizontal="left" vertical="bottom" textRotation="0" wrapText="0" indent="0" justifyLastLine="0" shrinkToFit="0" readingOrder="0"/>
    </dxf>
    <dxf>
      <alignment horizontal="center" vertical="center" textRotation="0" wrapText="1" indent="0" justifyLastLine="0" shrinkToFit="0" readingOrder="0"/>
    </dxf>
    <dxf>
      <fill>
        <patternFill>
          <bgColor theme="4" tint="0.79998168889431442"/>
        </patternFill>
      </fill>
    </dxf>
    <dxf>
      <fill>
        <patternFill patternType="none">
          <fgColor indexed="64"/>
          <bgColor auto="1"/>
        </patternFill>
      </fill>
    </dxf>
    <dxf>
      <font>
        <b val="0"/>
        <i val="0"/>
      </font>
      <border>
        <top style="double">
          <color theme="1"/>
        </top>
      </border>
    </dxf>
    <dxf>
      <font>
        <b/>
        <i val="0"/>
        <color theme="0"/>
      </font>
      <fill>
        <patternFill>
          <bgColor theme="4"/>
        </patternFill>
      </fill>
      <border>
        <left style="thin">
          <color theme="3"/>
        </left>
        <right style="thin">
          <color theme="3"/>
        </right>
        <top style="thin">
          <color theme="4" tint="-0.499984740745262"/>
        </top>
        <bottom style="medium">
          <color theme="4" tint="-0.499984740745262"/>
        </bottom>
        <vertical style="thin">
          <color theme="3"/>
        </vertical>
        <horizontal style="thin">
          <color theme="3"/>
        </horizontal>
      </border>
    </dxf>
    <dxf>
      <font>
        <color theme="3" tint="-0.24994659260841701"/>
      </font>
      <border>
        <left style="thin">
          <color theme="3" tint="0.59996337778862885"/>
        </left>
        <right style="thin">
          <color theme="3" tint="0.59996337778862885"/>
        </right>
        <top style="thin">
          <color theme="3" tint="0.59996337778862885"/>
        </top>
        <bottom style="thin">
          <color theme="3" tint="0.59996337778862885"/>
        </bottom>
        <vertical style="thin">
          <color theme="3" tint="0.59996337778862885"/>
        </vertical>
        <horizontal style="thin">
          <color theme="3" tint="0.59996337778862885"/>
        </horizontal>
      </border>
    </dxf>
    <dxf>
      <fill>
        <patternFill>
          <bgColor theme="4" tint="0.79998168889431442"/>
        </patternFill>
      </fill>
    </dxf>
    <dxf>
      <fill>
        <patternFill patternType="none">
          <fgColor indexed="64"/>
          <bgColor auto="1"/>
        </patternFill>
      </fill>
    </dxf>
    <dxf>
      <font>
        <b val="0"/>
        <i val="0"/>
      </font>
      <border>
        <top style="double">
          <color theme="1"/>
        </top>
      </border>
    </dxf>
    <dxf>
      <font>
        <color theme="1"/>
      </font>
      <fill>
        <patternFill>
          <bgColor theme="4" tint="0.79998168889431442"/>
        </patternFill>
      </fill>
      <border>
        <left style="thin">
          <color theme="3"/>
        </left>
        <right style="thin">
          <color theme="3"/>
        </right>
        <top style="medium">
          <color theme="3"/>
        </top>
        <bottom style="thin">
          <color theme="3"/>
        </bottom>
        <vertical style="thin">
          <color theme="3"/>
        </vertical>
        <horizontal style="thin">
          <color theme="3"/>
        </horizontal>
      </border>
    </dxf>
    <dxf>
      <font>
        <color theme="1"/>
      </font>
      <border>
        <left style="thin">
          <color theme="3" tint="0.59996337778862885"/>
        </left>
        <right style="thin">
          <color theme="3" tint="0.59996337778862885"/>
        </right>
        <top style="thin">
          <color theme="3" tint="0.59996337778862885"/>
        </top>
        <bottom style="thin">
          <color theme="3" tint="0.59996337778862885"/>
        </bottom>
        <vertical style="thin">
          <color theme="3" tint="0.59996337778862885"/>
        </vertical>
        <horizontal style="thin">
          <color theme="3" tint="0.59996337778862885"/>
        </horizontal>
      </border>
    </dxf>
  </dxfs>
  <tableStyles count="2" defaultTableStyle="TableStyleMedium2" defaultPivotStyle="PivotStyleLight16">
    <tableStyle name="Employee Absence Table" pivot="0" count="5" xr9:uid="{00000000-0011-0000-FFFF-FFFF00000000}">
      <tableStyleElement type="wholeTable" dxfId="999"/>
      <tableStyleElement type="headerRow" dxfId="998"/>
      <tableStyleElement type="totalRow" dxfId="997"/>
      <tableStyleElement type="firstRowStripe" dxfId="996"/>
      <tableStyleElement type="secondRowStripe" dxfId="995"/>
    </tableStyle>
    <tableStyle name="Student List" pivot="0" count="5" xr9:uid="{00000000-0011-0000-FFFF-FFFF01000000}">
      <tableStyleElement type="wholeTable" dxfId="994"/>
      <tableStyleElement type="headerRow" dxfId="993"/>
      <tableStyleElement type="totalRow" dxfId="992"/>
      <tableStyleElement type="firstRowStripe" dxfId="991"/>
      <tableStyleElement type="secondRowStripe" dxfId="990"/>
    </tableStyle>
  </tableStyles>
  <colors>
    <mruColors>
      <color rgb="FFF0D2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Spin" dx="16" fmlaLink="CalendarYear" max="3000" min="2010" page="10" val="2018"/>
</file>

<file path=xl/ctrlProps/ctrlProp2.xml><?xml version="1.0" encoding="utf-8"?>
<formControlPr xmlns="http://schemas.microsoft.com/office/spreadsheetml/2009/9/main" objectType="Spin" dx="16" fmlaLink="CalendárioAnual" max="3000" min="2010" page="10" val="2018"/>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39</xdr:col>
          <xdr:colOff>38100</xdr:colOff>
          <xdr:row>0</xdr:row>
          <xdr:rowOff>104775</xdr:rowOff>
        </xdr:from>
        <xdr:to>
          <xdr:col>39</xdr:col>
          <xdr:colOff>209550</xdr:colOff>
          <xdr:row>0</xdr:row>
          <xdr:rowOff>419100</xdr:rowOff>
        </xdr:to>
        <xdr:sp macro="" textlink="">
          <xdr:nvSpPr>
            <xdr:cNvPr id="2050" name="Controlo Giratório 1" descr="Calendar Year Spinner. Click the spinner to change the school calendar year or type the year in cell AM."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39</xdr:col>
          <xdr:colOff>38100</xdr:colOff>
          <xdr:row>0</xdr:row>
          <xdr:rowOff>104775</xdr:rowOff>
        </xdr:from>
        <xdr:to>
          <xdr:col>39</xdr:col>
          <xdr:colOff>209550</xdr:colOff>
          <xdr:row>0</xdr:row>
          <xdr:rowOff>419100</xdr:rowOff>
        </xdr:to>
        <xdr:sp macro="" textlink="">
          <xdr:nvSpPr>
            <xdr:cNvPr id="2049" name="Spinner 1" descr="Calendar Year Spinner. Click the spinner to change the school calendar year or type the year in cell AM."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istaDeAlunos" displayName="ListaDeAlunos" ref="B3:S15" totalsRowShown="0" headerRowDxfId="989">
  <autoFilter ref="B3:S15" xr:uid="{00000000-0009-0000-0100-000001000000}"/>
  <tableColumns count="18">
    <tableColumn id="1" xr3:uid="{00000000-0010-0000-0000-000001000000}" name="ID de Estudante" dataDxfId="988"/>
    <tableColumn id="2" xr3:uid="{00000000-0010-0000-0000-000002000000}" name="Nome do Estudante" dataDxfId="987"/>
    <tableColumn id="3" xr3:uid="{00000000-0010-0000-0000-000003000000}" name="Apelido do Estudante" dataDxfId="986"/>
    <tableColumn id="5" xr3:uid="{00000000-0010-0000-0000-000005000000}" name="Género" dataDxfId="985"/>
    <tableColumn id="6" xr3:uid="{00000000-0010-0000-0000-000006000000}" name="Data de Nascimento" dataDxfId="984"/>
    <tableColumn id="7" xr3:uid="{00000000-0010-0000-0000-000007000000}" name="Pai ou Tutor 1" dataDxfId="983"/>
    <tableColumn id="10" xr3:uid="{00000000-0010-0000-0000-00000A000000}" name="Relação Pai/Tutor 1" dataDxfId="982"/>
    <tableColumn id="9" xr3:uid="{00000000-0010-0000-0000-000009000000}" name="Número de trabalho do Pai/Tutor 1" dataDxfId="981"/>
    <tableColumn id="8" xr3:uid="{00000000-0010-0000-0000-000008000000}" name="Número de casa do Pai/Tutor 1" dataDxfId="980"/>
    <tableColumn id="18" xr3:uid="{00000000-0010-0000-0000-000012000000}" name="Pai/Tutor 2" dataDxfId="979"/>
    <tableColumn id="15" xr3:uid="{00000000-0010-0000-0000-00000F000000}" name="Relação Pai/Tutor 2" dataDxfId="978"/>
    <tableColumn id="16" xr3:uid="{00000000-0010-0000-0000-000010000000}" name="Número de trabalho do Pai/Tutor 2" dataDxfId="977"/>
    <tableColumn id="17" xr3:uid="{00000000-0010-0000-0000-000011000000}" name="Número de casa do Pai/Tutor 2" dataDxfId="976"/>
    <tableColumn id="13" xr3:uid="{00000000-0010-0000-0000-00000D000000}" name="Contacto em Caso de Emergência" dataDxfId="975"/>
    <tableColumn id="12" xr3:uid="{00000000-0010-0000-0000-00000C000000}" name="Relação do Contacto em Caso de Emergência" dataDxfId="974"/>
    <tableColumn id="11" xr3:uid="{00000000-0010-0000-0000-00000B000000}" name="Número do Trabalho do Contacto em Caso de Emergência" dataDxfId="973"/>
    <tableColumn id="14" xr3:uid="{00000000-0010-0000-0000-00000E000000}" name="Número de casa do Contacto em Caso de Emergência" dataDxfId="972"/>
    <tableColumn id="4" xr3:uid="{00000000-0010-0000-0000-000004000000}" name="Nome Completo do Estudante" dataDxfId="971"/>
  </tableColumns>
  <tableStyleInfo name="Student List" showFirstColumn="0" showLastColumn="0" showRowStripes="1" showColumnStripes="0"/>
  <extLst>
    <ext xmlns:x14="http://schemas.microsoft.com/office/spreadsheetml/2009/9/main" uri="{504A1905-F514-4f6f-8877-14C23A59335A}">
      <x14:table altText="Lista de Estudantes" altTextSummary="Fornece nomes de estudantes e informações de contacto do tutor e da pessoa a contactar em caso de emergência para cada estudante."/>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9000000}" name="PresençasEmAbril" displayName="PresençasEmAbril" ref="B6:AM12" totalsRowCount="1" headerRowDxfId="370" totalsRowDxfId="369">
  <tableColumns count="38">
    <tableColumn id="38" xr3:uid="{00000000-0010-0000-0900-000026000000}" name="ID de Estudante" dataDxfId="368" totalsRowDxfId="367"/>
    <tableColumn id="1" xr3:uid="{00000000-0010-0000-0900-000001000000}" name="Nome do Estudante" totalsRowLabel="Total de dias de ausência" dataDxfId="366" totalsRowDxfId="365"/>
    <tableColumn id="2" xr3:uid="{00000000-0010-0000-0900-000002000000}" name="1" totalsRowFunction="custom" dataDxfId="364" totalsRowDxfId="363">
      <totalsRowFormula>COUNTIF(PresençasEmAbril[1],"U")+COUNTIF(PresençasEmAbril[1],"E")</totalsRowFormula>
    </tableColumn>
    <tableColumn id="3" xr3:uid="{00000000-0010-0000-0900-000003000000}" name="2" totalsRowFunction="custom" dataDxfId="362" totalsRowDxfId="361">
      <totalsRowFormula>COUNTIF(PresençasEmAbril[2],"U")+COUNTIF(PresençasEmAbril[2],"E")</totalsRowFormula>
    </tableColumn>
    <tableColumn id="4" xr3:uid="{00000000-0010-0000-0900-000004000000}" name="3" totalsRowFunction="custom" dataDxfId="360" totalsRowDxfId="359">
      <totalsRowFormula>COUNTIF(PresençasEmAbril[3],"U")+COUNTIF(PresençasEmAbril[3],"E")</totalsRowFormula>
    </tableColumn>
    <tableColumn id="5" xr3:uid="{00000000-0010-0000-0900-000005000000}" name="4" totalsRowFunction="custom" dataDxfId="358" totalsRowDxfId="357">
      <totalsRowFormula>COUNTIF(PresençasEmAbril[4],"U")+COUNTIF(PresençasEmAbril[4],"E")</totalsRowFormula>
    </tableColumn>
    <tableColumn id="6" xr3:uid="{00000000-0010-0000-0900-000006000000}" name="5" totalsRowFunction="custom" dataDxfId="356" totalsRowDxfId="355">
      <totalsRowFormula>COUNTIF(PresençasEmAbril[5],"U")+COUNTIF(PresençasEmAbril[5],"E")</totalsRowFormula>
    </tableColumn>
    <tableColumn id="7" xr3:uid="{00000000-0010-0000-0900-000007000000}" name="6" totalsRowFunction="custom" dataDxfId="354" totalsRowDxfId="353">
      <totalsRowFormula>COUNTIF(PresençasEmAbril[6],"U")+COUNTIF(PresençasEmAbril[6],"E")</totalsRowFormula>
    </tableColumn>
    <tableColumn id="8" xr3:uid="{00000000-0010-0000-0900-000008000000}" name="7" totalsRowFunction="custom" dataDxfId="352" totalsRowDxfId="351">
      <totalsRowFormula>COUNTIF(PresençasEmAbril[7],"U")+COUNTIF(PresençasEmAbril[7],"E")</totalsRowFormula>
    </tableColumn>
    <tableColumn id="9" xr3:uid="{00000000-0010-0000-0900-000009000000}" name="8" totalsRowFunction="custom" dataDxfId="350" totalsRowDxfId="349">
      <totalsRowFormula>COUNTIF(PresençasEmAbril[8],"U")+COUNTIF(PresençasEmAbril[8],"E")</totalsRowFormula>
    </tableColumn>
    <tableColumn id="10" xr3:uid="{00000000-0010-0000-0900-00000A000000}" name="9" totalsRowFunction="custom" dataDxfId="348" totalsRowDxfId="347">
      <totalsRowFormula>COUNTIF(PresençasEmAbril[9],"U")+COUNTIF(PresençasEmAbril[9],"E")</totalsRowFormula>
    </tableColumn>
    <tableColumn id="11" xr3:uid="{00000000-0010-0000-0900-00000B000000}" name="10" totalsRowFunction="custom" dataDxfId="346" totalsRowDxfId="345">
      <totalsRowFormula>COUNTIF(PresençasEmAbril[10],"U")+COUNTIF(PresençasEmAbril[10],"E")</totalsRowFormula>
    </tableColumn>
    <tableColumn id="12" xr3:uid="{00000000-0010-0000-0900-00000C000000}" name="11" totalsRowFunction="custom" dataDxfId="344" totalsRowDxfId="343">
      <totalsRowFormula>COUNTIF(PresençasEmAbril[11],"U")+COUNTIF(PresençasEmAbril[11],"E")</totalsRowFormula>
    </tableColumn>
    <tableColumn id="13" xr3:uid="{00000000-0010-0000-0900-00000D000000}" name="12" totalsRowFunction="custom" dataDxfId="342" totalsRowDxfId="341">
      <totalsRowFormula>COUNTIF(PresençasEmAbril[12],"U")+COUNTIF(PresençasEmAbril[12],"E")</totalsRowFormula>
    </tableColumn>
    <tableColumn id="14" xr3:uid="{00000000-0010-0000-0900-00000E000000}" name="13" totalsRowFunction="custom" dataDxfId="340" totalsRowDxfId="339">
      <totalsRowFormula>COUNTIF(PresençasEmAbril[13],"U")+COUNTIF(PresençasEmAbril[13],"E")</totalsRowFormula>
    </tableColumn>
    <tableColumn id="15" xr3:uid="{00000000-0010-0000-0900-00000F000000}" name="14" totalsRowFunction="custom" dataDxfId="338" totalsRowDxfId="337">
      <totalsRowFormula>COUNTIF(PresençasEmAbril[14],"U")+COUNTIF(PresençasEmAbril[14],"E")</totalsRowFormula>
    </tableColumn>
    <tableColumn id="16" xr3:uid="{00000000-0010-0000-0900-000010000000}" name="15" totalsRowFunction="custom" dataDxfId="336" totalsRowDxfId="335">
      <totalsRowFormula>COUNTIF(PresençasEmAbril[15],"U")+COUNTIF(PresençasEmAbril[15],"E")</totalsRowFormula>
    </tableColumn>
    <tableColumn id="17" xr3:uid="{00000000-0010-0000-0900-000011000000}" name="16" totalsRowFunction="custom" dataDxfId="334" totalsRowDxfId="333">
      <totalsRowFormula>COUNTIF(PresençasEmAbril[16],"U")+COUNTIF(PresençasEmAbril[16],"E")</totalsRowFormula>
    </tableColumn>
    <tableColumn id="18" xr3:uid="{00000000-0010-0000-0900-000012000000}" name="17" totalsRowFunction="custom" dataDxfId="332" totalsRowDxfId="331">
      <totalsRowFormula>COUNTIF(PresençasEmAbril[17],"U")+COUNTIF(PresençasEmAbril[17],"E")</totalsRowFormula>
    </tableColumn>
    <tableColumn id="19" xr3:uid="{00000000-0010-0000-0900-000013000000}" name="18" totalsRowFunction="custom" dataDxfId="330" totalsRowDxfId="329">
      <totalsRowFormula>COUNTIF(PresençasEmAbril[18],"U")+COUNTIF(PresençasEmAbril[18],"E")</totalsRowFormula>
    </tableColumn>
    <tableColumn id="20" xr3:uid="{00000000-0010-0000-0900-000014000000}" name="19" totalsRowFunction="custom" dataDxfId="328" totalsRowDxfId="327">
      <totalsRowFormula>COUNTIF(PresençasEmAbril[19],"U")+COUNTIF(PresençasEmAbril[19],"E")</totalsRowFormula>
    </tableColumn>
    <tableColumn id="21" xr3:uid="{00000000-0010-0000-0900-000015000000}" name="20" totalsRowFunction="custom" dataDxfId="326" totalsRowDxfId="325">
      <totalsRowFormula>COUNTIF(PresençasEmAbril[20],"U")+COUNTIF(PresençasEmAbril[20],"E")</totalsRowFormula>
    </tableColumn>
    <tableColumn id="22" xr3:uid="{00000000-0010-0000-0900-000016000000}" name="21" totalsRowFunction="custom" dataDxfId="324" totalsRowDxfId="323">
      <totalsRowFormula>COUNTIF(PresençasEmAbril[21],"U")+COUNTIF(PresençasEmAbril[21],"E")</totalsRowFormula>
    </tableColumn>
    <tableColumn id="23" xr3:uid="{00000000-0010-0000-0900-000017000000}" name="22" totalsRowFunction="custom" dataDxfId="322" totalsRowDxfId="321">
      <totalsRowFormula>COUNTIF(PresençasEmAbril[22],"U")+COUNTIF(PresençasEmAbril[22],"E")</totalsRowFormula>
    </tableColumn>
    <tableColumn id="24" xr3:uid="{00000000-0010-0000-0900-000018000000}" name="23" totalsRowFunction="custom" dataDxfId="320" totalsRowDxfId="319">
      <totalsRowFormula>COUNTIF(PresençasEmAbril[23],"U")+COUNTIF(PresençasEmAbril[23],"E")</totalsRowFormula>
    </tableColumn>
    <tableColumn id="25" xr3:uid="{00000000-0010-0000-0900-000019000000}" name="24" totalsRowFunction="custom" dataDxfId="318" totalsRowDxfId="317">
      <totalsRowFormula>COUNTIF(PresençasEmAbril[24],"U")+COUNTIF(PresençasEmAbril[24],"E")</totalsRowFormula>
    </tableColumn>
    <tableColumn id="26" xr3:uid="{00000000-0010-0000-0900-00001A000000}" name="25" totalsRowFunction="custom" dataDxfId="316" totalsRowDxfId="315">
      <totalsRowFormula>COUNTIF(PresençasEmAbril[25],"U")+COUNTIF(PresençasEmAbril[25],"E")</totalsRowFormula>
    </tableColumn>
    <tableColumn id="27" xr3:uid="{00000000-0010-0000-0900-00001B000000}" name="26" totalsRowFunction="custom" dataDxfId="314" totalsRowDxfId="313">
      <totalsRowFormula>COUNTIF(PresençasEmAbril[26],"U")+COUNTIF(PresençasEmAbril[26],"E")</totalsRowFormula>
    </tableColumn>
    <tableColumn id="28" xr3:uid="{00000000-0010-0000-0900-00001C000000}" name="27" totalsRowFunction="custom" dataDxfId="312" totalsRowDxfId="311">
      <totalsRowFormula>COUNTIF(PresençasEmAbril[27],"U")+COUNTIF(PresençasEmAbril[27],"E")</totalsRowFormula>
    </tableColumn>
    <tableColumn id="29" xr3:uid="{00000000-0010-0000-0900-00001D000000}" name="28" totalsRowFunction="custom" dataDxfId="310" totalsRowDxfId="309">
      <totalsRowFormula>COUNTIF(PresençasEmAbril[28],"U")+COUNTIF(PresençasEmAbril[28],"E")</totalsRowFormula>
    </tableColumn>
    <tableColumn id="30" xr3:uid="{00000000-0010-0000-0900-00001E000000}" name="29" totalsRowFunction="custom" dataDxfId="308" totalsRowDxfId="307">
      <totalsRowFormula>COUNTIF(PresençasEmAbril[29],"U")+COUNTIF(PresençasEmAbril[29],"E")</totalsRowFormula>
    </tableColumn>
    <tableColumn id="31" xr3:uid="{00000000-0010-0000-0900-00001F000000}" name="30" dataDxfId="306" totalsRowDxfId="305"/>
    <tableColumn id="32" xr3:uid="{00000000-0010-0000-0900-000020000000}" name=" " dataDxfId="304" totalsRowDxfId="303"/>
    <tableColumn id="35" xr3:uid="{00000000-0010-0000-0900-000023000000}" name="T" totalsRowFunction="sum" dataDxfId="302" totalsRowDxfId="301">
      <calculatedColumnFormula>COUNTIF(PresençasEmAbril[[#This Row],[1]:[ ]],Código1)</calculatedColumnFormula>
    </tableColumn>
    <tableColumn id="34" xr3:uid="{00000000-0010-0000-0900-000022000000}" name="E" totalsRowFunction="sum" dataDxfId="300" totalsRowDxfId="299">
      <calculatedColumnFormula>COUNTIF(PresençasEmAbril[[#This Row],[1]:[ ]],Código2)</calculatedColumnFormula>
    </tableColumn>
    <tableColumn id="37" xr3:uid="{00000000-0010-0000-0900-000025000000}" name="U" totalsRowFunction="sum" dataDxfId="298" totalsRowDxfId="297">
      <calculatedColumnFormula>COUNTIF(PresençasEmAbril[[#This Row],[1]:[ ]],Código3)</calculatedColumnFormula>
    </tableColumn>
    <tableColumn id="36" xr3:uid="{00000000-0010-0000-0900-000024000000}" name="P" totalsRowFunction="sum" dataDxfId="296" totalsRowDxfId="295">
      <calculatedColumnFormula>COUNTIF(PresençasEmAbril[[#This Row],[1]:[ ]],Código4)</calculatedColumnFormula>
    </tableColumn>
    <tableColumn id="33" xr3:uid="{00000000-0010-0000-0900-000021000000}" name="Dias de Ausência" totalsRowFunction="sum" dataDxfId="294" totalsRowDxfId="293"/>
  </tableColumns>
  <tableStyleInfo name="Employee Absence Table" showFirstColumn="0" showLastColumn="0" showRowStripes="1" showColumnStripes="1"/>
  <extLst>
    <ext xmlns:x14="http://schemas.microsoft.com/office/spreadsheetml/2009/9/main" uri="{504A1905-F514-4f6f-8877-14C23A59335A}">
      <x14:table altText="Relatório de Presenças de Fevereiro" altTextSummary="Regista as Presenças dos estudantes, tal como A=Atrasado, J=Justificado, I=Injustificado, P=Presente, N=Não há Escola, para o mês de abril. "/>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PresençasEmMaio" displayName="PresençasEmMaio" ref="B6:AM12" totalsRowCount="1" headerRowDxfId="287" totalsRowDxfId="286">
  <tableColumns count="38">
    <tableColumn id="38" xr3:uid="{00000000-0010-0000-0A00-000026000000}" name="ID de Estudante" dataDxfId="285" totalsRowDxfId="284"/>
    <tableColumn id="1" xr3:uid="{00000000-0010-0000-0A00-000001000000}" name="Nome do Estudante" totalsRowLabel="Total de dias de ausência" dataDxfId="283" totalsRowDxfId="282"/>
    <tableColumn id="2" xr3:uid="{00000000-0010-0000-0A00-000002000000}" name="1" totalsRowFunction="custom" dataDxfId="281" totalsRowDxfId="280">
      <totalsRowFormula>COUNTIF(PresençasEmMaio[1],"U")+COUNTIF(PresençasEmMaio[1],"E")</totalsRowFormula>
    </tableColumn>
    <tableColumn id="3" xr3:uid="{00000000-0010-0000-0A00-000003000000}" name="2" totalsRowFunction="custom" dataDxfId="279" totalsRowDxfId="278">
      <totalsRowFormula>COUNTIF(PresençasEmMaio[2],"U")+COUNTIF(PresençasEmMaio[2],"E")</totalsRowFormula>
    </tableColumn>
    <tableColumn id="4" xr3:uid="{00000000-0010-0000-0A00-000004000000}" name="3" totalsRowFunction="custom" dataDxfId="277" totalsRowDxfId="276">
      <totalsRowFormula>COUNTIF(PresençasEmMaio[3],"U")+COUNTIF(PresençasEmMaio[3],"E")</totalsRowFormula>
    </tableColumn>
    <tableColumn id="5" xr3:uid="{00000000-0010-0000-0A00-000005000000}" name="4" totalsRowFunction="custom" dataDxfId="275" totalsRowDxfId="274">
      <totalsRowFormula>COUNTIF(PresençasEmMaio[4],"U")+COUNTIF(PresençasEmMaio[4],"E")</totalsRowFormula>
    </tableColumn>
    <tableColumn id="6" xr3:uid="{00000000-0010-0000-0A00-000006000000}" name="5" totalsRowFunction="custom" dataDxfId="273" totalsRowDxfId="272">
      <totalsRowFormula>COUNTIF(PresençasEmMaio[5],"U")+COUNTIF(PresençasEmMaio[5],"E")</totalsRowFormula>
    </tableColumn>
    <tableColumn id="7" xr3:uid="{00000000-0010-0000-0A00-000007000000}" name="6" totalsRowFunction="custom" dataDxfId="271" totalsRowDxfId="270">
      <totalsRowFormula>COUNTIF(PresençasEmMaio[6],"U")+COUNTIF(PresençasEmMaio[6],"E")</totalsRowFormula>
    </tableColumn>
    <tableColumn id="8" xr3:uid="{00000000-0010-0000-0A00-000008000000}" name="7" totalsRowFunction="custom" dataDxfId="269" totalsRowDxfId="268">
      <totalsRowFormula>COUNTIF(PresençasEmMaio[7],"U")+COUNTIF(PresençasEmMaio[7],"E")</totalsRowFormula>
    </tableColumn>
    <tableColumn id="9" xr3:uid="{00000000-0010-0000-0A00-000009000000}" name="8" totalsRowFunction="custom" dataDxfId="267" totalsRowDxfId="266">
      <totalsRowFormula>COUNTIF(PresençasEmMaio[8],"U")+COUNTIF(PresençasEmMaio[8],"E")</totalsRowFormula>
    </tableColumn>
    <tableColumn id="10" xr3:uid="{00000000-0010-0000-0A00-00000A000000}" name="9" totalsRowFunction="custom" dataDxfId="265" totalsRowDxfId="264">
      <totalsRowFormula>COUNTIF(PresençasEmMaio[9],"U")+COUNTIF(PresençasEmMaio[9],"E")</totalsRowFormula>
    </tableColumn>
    <tableColumn id="11" xr3:uid="{00000000-0010-0000-0A00-00000B000000}" name="10" totalsRowFunction="custom" dataDxfId="263" totalsRowDxfId="262">
      <totalsRowFormula>COUNTIF(PresençasEmMaio[10],"U")+COUNTIF(PresençasEmMaio[10],"E")</totalsRowFormula>
    </tableColumn>
    <tableColumn id="12" xr3:uid="{00000000-0010-0000-0A00-00000C000000}" name="11" totalsRowFunction="custom" dataDxfId="261" totalsRowDxfId="260">
      <totalsRowFormula>COUNTIF(PresençasEmMaio[11],"U")+COUNTIF(PresençasEmMaio[11],"E")</totalsRowFormula>
    </tableColumn>
    <tableColumn id="13" xr3:uid="{00000000-0010-0000-0A00-00000D000000}" name="12" totalsRowFunction="custom" dataDxfId="259" totalsRowDxfId="258">
      <totalsRowFormula>COUNTIF(PresençasEmMaio[12],"U")+COUNTIF(PresençasEmMaio[12],"E")</totalsRowFormula>
    </tableColumn>
    <tableColumn id="14" xr3:uid="{00000000-0010-0000-0A00-00000E000000}" name="13" totalsRowFunction="custom" dataDxfId="257" totalsRowDxfId="256">
      <totalsRowFormula>COUNTIF(PresençasEmMaio[13],"U")+COUNTIF(PresençasEmMaio[13],"E")</totalsRowFormula>
    </tableColumn>
    <tableColumn id="15" xr3:uid="{00000000-0010-0000-0A00-00000F000000}" name="14" totalsRowFunction="custom" dataDxfId="255" totalsRowDxfId="254">
      <totalsRowFormula>COUNTIF(PresençasEmMaio[14],"U")+COUNTIF(PresençasEmMaio[14],"E")</totalsRowFormula>
    </tableColumn>
    <tableColumn id="16" xr3:uid="{00000000-0010-0000-0A00-000010000000}" name="15" totalsRowFunction="custom" dataDxfId="253" totalsRowDxfId="252">
      <totalsRowFormula>COUNTIF(PresençasEmMaio[15],"U")+COUNTIF(PresençasEmMaio[15],"E")</totalsRowFormula>
    </tableColumn>
    <tableColumn id="17" xr3:uid="{00000000-0010-0000-0A00-000011000000}" name="16" totalsRowFunction="custom" dataDxfId="251" totalsRowDxfId="250">
      <totalsRowFormula>COUNTIF(PresençasEmMaio[16],"U")+COUNTIF(PresençasEmMaio[16],"E")</totalsRowFormula>
    </tableColumn>
    <tableColumn id="18" xr3:uid="{00000000-0010-0000-0A00-000012000000}" name="17" totalsRowFunction="custom" dataDxfId="249" totalsRowDxfId="248">
      <totalsRowFormula>COUNTIF(PresençasEmMaio[17],"U")+COUNTIF(PresençasEmMaio[17],"E")</totalsRowFormula>
    </tableColumn>
    <tableColumn id="19" xr3:uid="{00000000-0010-0000-0A00-000013000000}" name="18" totalsRowFunction="custom" dataDxfId="247" totalsRowDxfId="246">
      <totalsRowFormula>COUNTIF(PresençasEmMaio[18],"U")+COUNTIF(PresençasEmMaio[18],"E")</totalsRowFormula>
    </tableColumn>
    <tableColumn id="20" xr3:uid="{00000000-0010-0000-0A00-000014000000}" name="19" totalsRowFunction="custom" dataDxfId="245" totalsRowDxfId="244">
      <totalsRowFormula>COUNTIF(PresençasEmMaio[19],"U")+COUNTIF(PresençasEmMaio[19],"E")</totalsRowFormula>
    </tableColumn>
    <tableColumn id="21" xr3:uid="{00000000-0010-0000-0A00-000015000000}" name="20" totalsRowFunction="custom" dataDxfId="243" totalsRowDxfId="242">
      <totalsRowFormula>COUNTIF(PresençasEmMaio[20],"U")+COUNTIF(PresençasEmMaio[20],"E")</totalsRowFormula>
    </tableColumn>
    <tableColumn id="22" xr3:uid="{00000000-0010-0000-0A00-000016000000}" name="21" totalsRowFunction="custom" dataDxfId="241" totalsRowDxfId="240">
      <totalsRowFormula>COUNTIF(PresençasEmMaio[21],"U")+COUNTIF(PresençasEmMaio[21],"E")</totalsRowFormula>
    </tableColumn>
    <tableColumn id="23" xr3:uid="{00000000-0010-0000-0A00-000017000000}" name="22" totalsRowFunction="custom" dataDxfId="239" totalsRowDxfId="238">
      <totalsRowFormula>COUNTIF(PresençasEmMaio[22],"U")+COUNTIF(PresençasEmMaio[22],"E")</totalsRowFormula>
    </tableColumn>
    <tableColumn id="24" xr3:uid="{00000000-0010-0000-0A00-000018000000}" name="23" totalsRowFunction="custom" dataDxfId="237" totalsRowDxfId="236">
      <totalsRowFormula>COUNTIF(PresençasEmMaio[23],"U")+COUNTIF(PresençasEmMaio[23],"E")</totalsRowFormula>
    </tableColumn>
    <tableColumn id="25" xr3:uid="{00000000-0010-0000-0A00-000019000000}" name="24" totalsRowFunction="custom" dataDxfId="235" totalsRowDxfId="234">
      <totalsRowFormula>COUNTIF(PresençasEmMaio[24],"U")+COUNTIF(PresençasEmMaio[24],"E")</totalsRowFormula>
    </tableColumn>
    <tableColumn id="26" xr3:uid="{00000000-0010-0000-0A00-00001A000000}" name="25" totalsRowFunction="custom" dataDxfId="233" totalsRowDxfId="232">
      <totalsRowFormula>COUNTIF(PresençasEmMaio[25],"U")+COUNTIF(PresençasEmMaio[25],"E")</totalsRowFormula>
    </tableColumn>
    <tableColumn id="27" xr3:uid="{00000000-0010-0000-0A00-00001B000000}" name="26" totalsRowFunction="custom" dataDxfId="231" totalsRowDxfId="230">
      <totalsRowFormula>COUNTIF(PresençasEmMaio[26],"U")+COUNTIF(PresençasEmMaio[26],"E")</totalsRowFormula>
    </tableColumn>
    <tableColumn id="28" xr3:uid="{00000000-0010-0000-0A00-00001C000000}" name="27" totalsRowFunction="custom" dataDxfId="229" totalsRowDxfId="228">
      <totalsRowFormula>COUNTIF(PresençasEmMaio[27],"U")+COUNTIF(PresençasEmMaio[27],"E")</totalsRowFormula>
    </tableColumn>
    <tableColumn id="29" xr3:uid="{00000000-0010-0000-0A00-00001D000000}" name="28" totalsRowFunction="custom" dataDxfId="227" totalsRowDxfId="226">
      <totalsRowFormula>COUNTIF(PresençasEmMaio[28],"U")+COUNTIF(PresençasEmMaio[28],"E")</totalsRowFormula>
    </tableColumn>
    <tableColumn id="30" xr3:uid="{00000000-0010-0000-0A00-00001E000000}" name="29" totalsRowFunction="custom" dataDxfId="225" totalsRowDxfId="224">
      <totalsRowFormula>COUNTIF(PresençasEmMaio[29],"U")+COUNTIF(PresençasEmMaio[29],"E")</totalsRowFormula>
    </tableColumn>
    <tableColumn id="31" xr3:uid="{00000000-0010-0000-0A00-00001F000000}" name="30" dataDxfId="223" totalsRowDxfId="222"/>
    <tableColumn id="32" xr3:uid="{00000000-0010-0000-0A00-000020000000}" name="31" dataDxfId="221" totalsRowDxfId="220"/>
    <tableColumn id="35" xr3:uid="{00000000-0010-0000-0A00-000023000000}" name="T" totalsRowFunction="sum" dataDxfId="219" totalsRowDxfId="218">
      <calculatedColumnFormula>COUNTIF(PresençasEmMaio[[#This Row],[1]:[31]],Código1)</calculatedColumnFormula>
    </tableColumn>
    <tableColumn id="34" xr3:uid="{00000000-0010-0000-0A00-000022000000}" name="E" totalsRowFunction="sum" dataDxfId="217" totalsRowDxfId="216">
      <calculatedColumnFormula>COUNTIF(PresençasEmMaio[[#This Row],[1]:[31]],Código2)</calculatedColumnFormula>
    </tableColumn>
    <tableColumn id="37" xr3:uid="{00000000-0010-0000-0A00-000025000000}" name="U" totalsRowFunction="sum" dataDxfId="215" totalsRowDxfId="214">
      <calculatedColumnFormula>COUNTIF(PresençasEmMaio[[#This Row],[1]:[31]],Código3)</calculatedColumnFormula>
    </tableColumn>
    <tableColumn id="36" xr3:uid="{00000000-0010-0000-0A00-000024000000}" name="P" totalsRowFunction="sum" dataDxfId="213" totalsRowDxfId="212">
      <calculatedColumnFormula>COUNTIF(PresençasEmMaio[[#This Row],[1]:[31]],Código4)</calculatedColumnFormula>
    </tableColumn>
    <tableColumn id="33" xr3:uid="{00000000-0010-0000-0A00-000021000000}" name="Dias de Ausência" totalsRowFunction="sum" dataDxfId="211" totalsRowDxfId="210"/>
  </tableColumns>
  <tableStyleInfo name="Employee Absence Table" showFirstColumn="0" showLastColumn="0" showRowStripes="1" showColumnStripes="1"/>
  <extLst>
    <ext xmlns:x14="http://schemas.microsoft.com/office/spreadsheetml/2009/9/main" uri="{504A1905-F514-4f6f-8877-14C23A59335A}">
      <x14:table altText="Relatório de Presenças de Fevereiro" altTextSummary="Regista as Presenças dos estudantes, tal como A=Atrasado, J=Justificado, I=Injustificado, P=Presente, N=Não há Escola, para o mês de maio. "/>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PresençasEmJunho" displayName="PresençasEmJunho" ref="B6:AM12" totalsRowCount="1" headerRowDxfId="204" totalsRowDxfId="203">
  <tableColumns count="38">
    <tableColumn id="38" xr3:uid="{00000000-0010-0000-0B00-000026000000}" name="ID de Estudante" dataDxfId="202" totalsRowDxfId="201"/>
    <tableColumn id="1" xr3:uid="{00000000-0010-0000-0B00-000001000000}" name="Nome do Estudante" totalsRowLabel="Total de dias de ausência" dataDxfId="200" totalsRowDxfId="199"/>
    <tableColumn id="2" xr3:uid="{00000000-0010-0000-0B00-000002000000}" name="1" totalsRowFunction="custom" dataDxfId="198" totalsRowDxfId="197">
      <totalsRowFormula>COUNTIF(PresençasEmJunho[1],"U")+COUNTIF(PresençasEmJunho[1],"E")</totalsRowFormula>
    </tableColumn>
    <tableColumn id="3" xr3:uid="{00000000-0010-0000-0B00-000003000000}" name="2" totalsRowFunction="custom" dataDxfId="196" totalsRowDxfId="195">
      <totalsRowFormula>COUNTIF(PresençasEmJunho[2],"U")+COUNTIF(PresençasEmJunho[2],"E")</totalsRowFormula>
    </tableColumn>
    <tableColumn id="4" xr3:uid="{00000000-0010-0000-0B00-000004000000}" name="3" totalsRowFunction="custom" dataDxfId="194" totalsRowDxfId="193">
      <totalsRowFormula>COUNTIF(PresençasEmJunho[3],"U")+COUNTIF(PresençasEmJunho[3],"E")</totalsRowFormula>
    </tableColumn>
    <tableColumn id="5" xr3:uid="{00000000-0010-0000-0B00-000005000000}" name="4" totalsRowFunction="custom" dataDxfId="192" totalsRowDxfId="191">
      <totalsRowFormula>COUNTIF(PresençasEmJunho[4],"U")+COUNTIF(PresençasEmJunho[4],"E")</totalsRowFormula>
    </tableColumn>
    <tableColumn id="6" xr3:uid="{00000000-0010-0000-0B00-000006000000}" name="5" totalsRowFunction="custom" dataDxfId="190" totalsRowDxfId="189">
      <totalsRowFormula>COUNTIF(PresençasEmJunho[5],"U")+COUNTIF(PresençasEmJunho[5],"E")</totalsRowFormula>
    </tableColumn>
    <tableColumn id="7" xr3:uid="{00000000-0010-0000-0B00-000007000000}" name="6" totalsRowFunction="custom" dataDxfId="188" totalsRowDxfId="187">
      <totalsRowFormula>COUNTIF(PresençasEmJunho[6],"U")+COUNTIF(PresençasEmJunho[6],"E")</totalsRowFormula>
    </tableColumn>
    <tableColumn id="8" xr3:uid="{00000000-0010-0000-0B00-000008000000}" name="7" totalsRowFunction="custom" dataDxfId="186" totalsRowDxfId="185">
      <totalsRowFormula>COUNTIF(PresençasEmJunho[7],"U")+COUNTIF(PresençasEmJunho[7],"E")</totalsRowFormula>
    </tableColumn>
    <tableColumn id="9" xr3:uid="{00000000-0010-0000-0B00-000009000000}" name="8" totalsRowFunction="custom" dataDxfId="184" totalsRowDxfId="183">
      <totalsRowFormula>COUNTIF(PresençasEmJunho[8],"U")+COUNTIF(PresençasEmJunho[8],"E")</totalsRowFormula>
    </tableColumn>
    <tableColumn id="10" xr3:uid="{00000000-0010-0000-0B00-00000A000000}" name="9" totalsRowFunction="custom" dataDxfId="182" totalsRowDxfId="181">
      <totalsRowFormula>COUNTIF(PresençasEmJunho[9],"U")+COUNTIF(PresençasEmJunho[9],"E")</totalsRowFormula>
    </tableColumn>
    <tableColumn id="11" xr3:uid="{00000000-0010-0000-0B00-00000B000000}" name="10" totalsRowFunction="custom" dataDxfId="180" totalsRowDxfId="179">
      <totalsRowFormula>COUNTIF(PresençasEmJunho[10],"U")+COUNTIF(PresençasEmJunho[10],"E")</totalsRowFormula>
    </tableColumn>
    <tableColumn id="12" xr3:uid="{00000000-0010-0000-0B00-00000C000000}" name="11" totalsRowFunction="custom" dataDxfId="178" totalsRowDxfId="177">
      <totalsRowFormula>COUNTIF(PresençasEmJunho[11],"U")+COUNTIF(PresençasEmJunho[11],"E")</totalsRowFormula>
    </tableColumn>
    <tableColumn id="13" xr3:uid="{00000000-0010-0000-0B00-00000D000000}" name="12" totalsRowFunction="custom" dataDxfId="176" totalsRowDxfId="175">
      <totalsRowFormula>COUNTIF(PresençasEmJunho[12],"U")+COUNTIF(PresençasEmJunho[12],"E")</totalsRowFormula>
    </tableColumn>
    <tableColumn id="14" xr3:uid="{00000000-0010-0000-0B00-00000E000000}" name="13" totalsRowFunction="custom" dataDxfId="174" totalsRowDxfId="173">
      <totalsRowFormula>COUNTIF(PresençasEmJunho[13],"U")+COUNTIF(PresençasEmJunho[13],"E")</totalsRowFormula>
    </tableColumn>
    <tableColumn id="15" xr3:uid="{00000000-0010-0000-0B00-00000F000000}" name="14" totalsRowFunction="custom" dataDxfId="172" totalsRowDxfId="171">
      <totalsRowFormula>COUNTIF(PresençasEmJunho[14],"U")+COUNTIF(PresençasEmJunho[14],"E")</totalsRowFormula>
    </tableColumn>
    <tableColumn id="16" xr3:uid="{00000000-0010-0000-0B00-000010000000}" name="15" totalsRowFunction="custom" dataDxfId="170" totalsRowDxfId="169">
      <totalsRowFormula>COUNTIF(PresençasEmJunho[15],"U")+COUNTIF(PresençasEmJunho[15],"E")</totalsRowFormula>
    </tableColumn>
    <tableColumn id="17" xr3:uid="{00000000-0010-0000-0B00-000011000000}" name="16" totalsRowFunction="custom" dataDxfId="168" totalsRowDxfId="167">
      <totalsRowFormula>COUNTIF(PresençasEmJunho[16],"U")+COUNTIF(PresençasEmJunho[16],"E")</totalsRowFormula>
    </tableColumn>
    <tableColumn id="18" xr3:uid="{00000000-0010-0000-0B00-000012000000}" name="17" totalsRowFunction="custom" dataDxfId="166" totalsRowDxfId="165">
      <totalsRowFormula>COUNTIF(PresençasEmJunho[17],"U")+COUNTIF(PresençasEmJunho[17],"E")</totalsRowFormula>
    </tableColumn>
    <tableColumn id="19" xr3:uid="{00000000-0010-0000-0B00-000013000000}" name="18" totalsRowFunction="custom" dataDxfId="164" totalsRowDxfId="163">
      <totalsRowFormula>COUNTIF(PresençasEmJunho[18],"U")+COUNTIF(PresençasEmJunho[18],"E")</totalsRowFormula>
    </tableColumn>
    <tableColumn id="20" xr3:uid="{00000000-0010-0000-0B00-000014000000}" name="19" totalsRowFunction="custom" dataDxfId="162" totalsRowDxfId="161">
      <totalsRowFormula>COUNTIF(PresençasEmJunho[19],"U")+COUNTIF(PresençasEmJunho[19],"E")</totalsRowFormula>
    </tableColumn>
    <tableColumn id="21" xr3:uid="{00000000-0010-0000-0B00-000015000000}" name="20" totalsRowFunction="custom" dataDxfId="160" totalsRowDxfId="159">
      <totalsRowFormula>COUNTIF(PresençasEmJunho[20],"U")+COUNTIF(PresençasEmJunho[20],"E")</totalsRowFormula>
    </tableColumn>
    <tableColumn id="22" xr3:uid="{00000000-0010-0000-0B00-000016000000}" name="21" totalsRowFunction="custom" dataDxfId="158" totalsRowDxfId="157">
      <totalsRowFormula>COUNTIF(PresençasEmJunho[21],"U")+COUNTIF(PresençasEmJunho[21],"E")</totalsRowFormula>
    </tableColumn>
    <tableColumn id="23" xr3:uid="{00000000-0010-0000-0B00-000017000000}" name="22" totalsRowFunction="custom" dataDxfId="156" totalsRowDxfId="155">
      <totalsRowFormula>COUNTIF(PresençasEmJunho[22],"U")+COUNTIF(PresençasEmJunho[22],"E")</totalsRowFormula>
    </tableColumn>
    <tableColumn id="24" xr3:uid="{00000000-0010-0000-0B00-000018000000}" name="23" totalsRowFunction="custom" dataDxfId="154" totalsRowDxfId="153">
      <totalsRowFormula>COUNTIF(PresençasEmJunho[23],"U")+COUNTIF(PresençasEmJunho[23],"E")</totalsRowFormula>
    </tableColumn>
    <tableColumn id="25" xr3:uid="{00000000-0010-0000-0B00-000019000000}" name="24" totalsRowFunction="custom" dataDxfId="152" totalsRowDxfId="151">
      <totalsRowFormula>COUNTIF(PresençasEmJunho[24],"U")+COUNTIF(PresençasEmJunho[24],"E")</totalsRowFormula>
    </tableColumn>
    <tableColumn id="26" xr3:uid="{00000000-0010-0000-0B00-00001A000000}" name="25" totalsRowFunction="custom" dataDxfId="150" totalsRowDxfId="149">
      <totalsRowFormula>COUNTIF(PresençasEmJunho[25],"U")+COUNTIF(PresençasEmJunho[25],"E")</totalsRowFormula>
    </tableColumn>
    <tableColumn id="27" xr3:uid="{00000000-0010-0000-0B00-00001B000000}" name="26" totalsRowFunction="custom" dataDxfId="148" totalsRowDxfId="147">
      <totalsRowFormula>COUNTIF(PresençasEmJunho[26],"U")+COUNTIF(PresençasEmJunho[26],"E")</totalsRowFormula>
    </tableColumn>
    <tableColumn id="28" xr3:uid="{00000000-0010-0000-0B00-00001C000000}" name="27" totalsRowFunction="custom" dataDxfId="146" totalsRowDxfId="145">
      <totalsRowFormula>COUNTIF(PresençasEmJunho[27],"U")+COUNTIF(PresençasEmJunho[27],"E")</totalsRowFormula>
    </tableColumn>
    <tableColumn id="29" xr3:uid="{00000000-0010-0000-0B00-00001D000000}" name="28" totalsRowFunction="custom" dataDxfId="144" totalsRowDxfId="143">
      <totalsRowFormula>COUNTIF(PresençasEmJunho[28],"U")+COUNTIF(PresençasEmJunho[28],"E")</totalsRowFormula>
    </tableColumn>
    <tableColumn id="30" xr3:uid="{00000000-0010-0000-0B00-00001E000000}" name="29" totalsRowFunction="custom" dataDxfId="142" totalsRowDxfId="141">
      <totalsRowFormula>COUNTIF(PresençasEmJunho[29],"U")+COUNTIF(PresençasEmJunho[29],"E")</totalsRowFormula>
    </tableColumn>
    <tableColumn id="31" xr3:uid="{00000000-0010-0000-0B00-00001F000000}" name="30" dataDxfId="140" totalsRowDxfId="139"/>
    <tableColumn id="32" xr3:uid="{00000000-0010-0000-0B00-000020000000}" name=" " dataDxfId="138" totalsRowDxfId="137"/>
    <tableColumn id="35" xr3:uid="{00000000-0010-0000-0B00-000023000000}" name="T" totalsRowFunction="sum" dataDxfId="136" totalsRowDxfId="135">
      <calculatedColumnFormula>COUNTIF(PresençasEmJunho[[#This Row],[1]:[ ]],Código1)</calculatedColumnFormula>
    </tableColumn>
    <tableColumn id="34" xr3:uid="{00000000-0010-0000-0B00-000022000000}" name="E" totalsRowFunction="sum" dataDxfId="134" totalsRowDxfId="133">
      <calculatedColumnFormula>COUNTIF(PresençasEmJunho[[#This Row],[1]:[ ]],Código2)</calculatedColumnFormula>
    </tableColumn>
    <tableColumn id="37" xr3:uid="{00000000-0010-0000-0B00-000025000000}" name="U" totalsRowFunction="sum" dataDxfId="132" totalsRowDxfId="131">
      <calculatedColumnFormula>COUNTIF(PresençasEmJunho[[#This Row],[1]:[ ]],Código3)</calculatedColumnFormula>
    </tableColumn>
    <tableColumn id="36" xr3:uid="{00000000-0010-0000-0B00-000024000000}" name="P" totalsRowFunction="sum" dataDxfId="130" totalsRowDxfId="129">
      <calculatedColumnFormula>COUNTIF(PresençasEmJunho[[#This Row],[1]:[ ]],Código4)</calculatedColumnFormula>
    </tableColumn>
    <tableColumn id="33" xr3:uid="{00000000-0010-0000-0B00-000021000000}" name="Dias de Ausência" totalsRowFunction="sum" dataDxfId="128" totalsRowDxfId="127"/>
  </tableColumns>
  <tableStyleInfo name="Employee Absence Table" showFirstColumn="0" showLastColumn="0" showRowStripes="1" showColumnStripes="1"/>
  <extLst>
    <ext xmlns:x14="http://schemas.microsoft.com/office/spreadsheetml/2009/9/main" uri="{504A1905-F514-4f6f-8877-14C23A59335A}">
      <x14:table altText="Relatório de Presenças de Fevereiro" altTextSummary="Regista as Presenças dos estudantes, tal como A=Atrasado, J=Justificado, I=Injustificado, P=Presente, N=Não há Escola, para o mês de junho. "/>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PresençasEmJulho" displayName="PresençasEmJulho" ref="B6:AM12" totalsRowCount="1" headerRowDxfId="121" totalsRowDxfId="120">
  <tableColumns count="38">
    <tableColumn id="38" xr3:uid="{00000000-0010-0000-0C00-000026000000}" name="ID de Estudante" dataDxfId="119" totalsRowDxfId="118"/>
    <tableColumn id="1" xr3:uid="{00000000-0010-0000-0C00-000001000000}" name="Nome do Estudante" totalsRowLabel="Total de dias de ausência" dataDxfId="117" totalsRowDxfId="116"/>
    <tableColumn id="2" xr3:uid="{00000000-0010-0000-0C00-000002000000}" name="1" totalsRowFunction="custom" dataDxfId="115" totalsRowDxfId="114">
      <totalsRowFormula>COUNTIF(PresençasEmJulho[1],"U")+COUNTIF(PresençasEmJulho[1],"E")</totalsRowFormula>
    </tableColumn>
    <tableColumn id="3" xr3:uid="{00000000-0010-0000-0C00-000003000000}" name="2" totalsRowFunction="custom" dataDxfId="113" totalsRowDxfId="112">
      <totalsRowFormula>COUNTIF(PresençasEmJulho[2],"U")+COUNTIF(PresençasEmJulho[2],"E")</totalsRowFormula>
    </tableColumn>
    <tableColumn id="4" xr3:uid="{00000000-0010-0000-0C00-000004000000}" name="3" totalsRowFunction="custom" dataDxfId="111" totalsRowDxfId="110">
      <totalsRowFormula>COUNTIF(PresençasEmJulho[3],"U")+COUNTIF(PresençasEmJulho[3],"E")</totalsRowFormula>
    </tableColumn>
    <tableColumn id="5" xr3:uid="{00000000-0010-0000-0C00-000005000000}" name="4" totalsRowFunction="custom" dataDxfId="109" totalsRowDxfId="108">
      <totalsRowFormula>COUNTIF(PresençasEmJulho[4],"U")+COUNTIF(PresençasEmJulho[4],"E")</totalsRowFormula>
    </tableColumn>
    <tableColumn id="6" xr3:uid="{00000000-0010-0000-0C00-000006000000}" name="5" totalsRowFunction="custom" dataDxfId="107" totalsRowDxfId="106">
      <totalsRowFormula>COUNTIF(PresençasEmJulho[5],"U")+COUNTIF(PresençasEmJulho[5],"E")</totalsRowFormula>
    </tableColumn>
    <tableColumn id="7" xr3:uid="{00000000-0010-0000-0C00-000007000000}" name="6" totalsRowFunction="custom" dataDxfId="105" totalsRowDxfId="104">
      <totalsRowFormula>COUNTIF(PresençasEmJulho[6],"U")+COUNTIF(PresençasEmJulho[6],"E")</totalsRowFormula>
    </tableColumn>
    <tableColumn id="8" xr3:uid="{00000000-0010-0000-0C00-000008000000}" name="7" totalsRowFunction="custom" dataDxfId="103" totalsRowDxfId="102">
      <totalsRowFormula>COUNTIF(PresençasEmJulho[7],"U")+COUNTIF(PresençasEmJulho[7],"E")</totalsRowFormula>
    </tableColumn>
    <tableColumn id="9" xr3:uid="{00000000-0010-0000-0C00-000009000000}" name="8" totalsRowFunction="custom" dataDxfId="101" totalsRowDxfId="100">
      <totalsRowFormula>COUNTIF(PresençasEmJulho[8],"U")+COUNTIF(PresençasEmJulho[8],"E")</totalsRowFormula>
    </tableColumn>
    <tableColumn id="10" xr3:uid="{00000000-0010-0000-0C00-00000A000000}" name="9" totalsRowFunction="custom" dataDxfId="99" totalsRowDxfId="98">
      <totalsRowFormula>COUNTIF(PresençasEmJulho[9],"U")+COUNTIF(PresençasEmJulho[9],"E")</totalsRowFormula>
    </tableColumn>
    <tableColumn id="11" xr3:uid="{00000000-0010-0000-0C00-00000B000000}" name="10" totalsRowFunction="custom" dataDxfId="97" totalsRowDxfId="96">
      <totalsRowFormula>COUNTIF(PresençasEmJulho[10],"U")+COUNTIF(PresençasEmJulho[10],"E")</totalsRowFormula>
    </tableColumn>
    <tableColumn id="12" xr3:uid="{00000000-0010-0000-0C00-00000C000000}" name="11" totalsRowFunction="custom" dataDxfId="95" totalsRowDxfId="94">
      <totalsRowFormula>COUNTIF(PresençasEmJulho[11],"U")+COUNTIF(PresençasEmJulho[11],"E")</totalsRowFormula>
    </tableColumn>
    <tableColumn id="13" xr3:uid="{00000000-0010-0000-0C00-00000D000000}" name="12" totalsRowFunction="custom" dataDxfId="93" totalsRowDxfId="92">
      <totalsRowFormula>COUNTIF(PresençasEmJulho[12],"U")+COUNTIF(PresençasEmJulho[12],"E")</totalsRowFormula>
    </tableColumn>
    <tableColumn id="14" xr3:uid="{00000000-0010-0000-0C00-00000E000000}" name="13" totalsRowFunction="custom" dataDxfId="91" totalsRowDxfId="90">
      <totalsRowFormula>COUNTIF(PresençasEmJulho[13],"U")+COUNTIF(PresençasEmJulho[13],"E")</totalsRowFormula>
    </tableColumn>
    <tableColumn id="15" xr3:uid="{00000000-0010-0000-0C00-00000F000000}" name="14" totalsRowFunction="custom" dataDxfId="89" totalsRowDxfId="88">
      <totalsRowFormula>COUNTIF(PresençasEmJulho[14],"U")+COUNTIF(PresençasEmJulho[14],"E")</totalsRowFormula>
    </tableColumn>
    <tableColumn id="16" xr3:uid="{00000000-0010-0000-0C00-000010000000}" name="15" totalsRowFunction="custom" dataDxfId="87" totalsRowDxfId="86">
      <totalsRowFormula>COUNTIF(PresençasEmJulho[15],"U")+COUNTIF(PresençasEmJulho[15],"E")</totalsRowFormula>
    </tableColumn>
    <tableColumn id="17" xr3:uid="{00000000-0010-0000-0C00-000011000000}" name="16" totalsRowFunction="custom" dataDxfId="85" totalsRowDxfId="84">
      <totalsRowFormula>COUNTIF(PresençasEmJulho[16],"U")+COUNTIF(PresençasEmJulho[16],"E")</totalsRowFormula>
    </tableColumn>
    <tableColumn id="18" xr3:uid="{00000000-0010-0000-0C00-000012000000}" name="17" totalsRowFunction="custom" dataDxfId="83" totalsRowDxfId="82">
      <totalsRowFormula>COUNTIF(PresençasEmJulho[17],"U")+COUNTIF(PresençasEmJulho[17],"E")</totalsRowFormula>
    </tableColumn>
    <tableColumn id="19" xr3:uid="{00000000-0010-0000-0C00-000013000000}" name="18" totalsRowFunction="custom" dataDxfId="81" totalsRowDxfId="80">
      <totalsRowFormula>COUNTIF(PresençasEmJulho[18],"U")+COUNTIF(PresençasEmJulho[18],"E")</totalsRowFormula>
    </tableColumn>
    <tableColumn id="20" xr3:uid="{00000000-0010-0000-0C00-000014000000}" name="19" totalsRowFunction="custom" dataDxfId="79" totalsRowDxfId="78">
      <totalsRowFormula>COUNTIF(PresençasEmJulho[19],"U")+COUNTIF(PresençasEmJulho[19],"E")</totalsRowFormula>
    </tableColumn>
    <tableColumn id="21" xr3:uid="{00000000-0010-0000-0C00-000015000000}" name="20" totalsRowFunction="custom" dataDxfId="77" totalsRowDxfId="76">
      <totalsRowFormula>COUNTIF(PresençasEmJulho[20],"U")+COUNTIF(PresençasEmJulho[20],"E")</totalsRowFormula>
    </tableColumn>
    <tableColumn id="22" xr3:uid="{00000000-0010-0000-0C00-000016000000}" name="21" totalsRowFunction="custom" dataDxfId="75" totalsRowDxfId="74">
      <totalsRowFormula>COUNTIF(PresençasEmJulho[21],"U")+COUNTIF(PresençasEmJulho[21],"E")</totalsRowFormula>
    </tableColumn>
    <tableColumn id="23" xr3:uid="{00000000-0010-0000-0C00-000017000000}" name="22" totalsRowFunction="custom" dataDxfId="73" totalsRowDxfId="72">
      <totalsRowFormula>COUNTIF(PresençasEmJulho[22],"U")+COUNTIF(PresençasEmJulho[22],"E")</totalsRowFormula>
    </tableColumn>
    <tableColumn id="24" xr3:uid="{00000000-0010-0000-0C00-000018000000}" name="23" totalsRowFunction="custom" dataDxfId="71" totalsRowDxfId="70">
      <totalsRowFormula>COUNTIF(PresençasEmJulho[23],"U")+COUNTIF(PresençasEmJulho[23],"E")</totalsRowFormula>
    </tableColumn>
    <tableColumn id="25" xr3:uid="{00000000-0010-0000-0C00-000019000000}" name="24" totalsRowFunction="custom" dataDxfId="69" totalsRowDxfId="68">
      <totalsRowFormula>COUNTIF(PresençasEmJulho[24],"U")+COUNTIF(PresençasEmJulho[24],"E")</totalsRowFormula>
    </tableColumn>
    <tableColumn id="26" xr3:uid="{00000000-0010-0000-0C00-00001A000000}" name="25" totalsRowFunction="custom" dataDxfId="67" totalsRowDxfId="66">
      <totalsRowFormula>COUNTIF(PresençasEmJulho[25],"U")+COUNTIF(PresençasEmJulho[25],"E")</totalsRowFormula>
    </tableColumn>
    <tableColumn id="27" xr3:uid="{00000000-0010-0000-0C00-00001B000000}" name="26" totalsRowFunction="custom" dataDxfId="65" totalsRowDxfId="64">
      <totalsRowFormula>COUNTIF(PresençasEmJulho[26],"U")+COUNTIF(PresençasEmJulho[26],"E")</totalsRowFormula>
    </tableColumn>
    <tableColumn id="28" xr3:uid="{00000000-0010-0000-0C00-00001C000000}" name="27" totalsRowFunction="custom" dataDxfId="63" totalsRowDxfId="62">
      <totalsRowFormula>COUNTIF(PresençasEmJulho[27],"U")+COUNTIF(PresençasEmJulho[27],"E")</totalsRowFormula>
    </tableColumn>
    <tableColumn id="29" xr3:uid="{00000000-0010-0000-0C00-00001D000000}" name="28" totalsRowFunction="custom" dataDxfId="61" totalsRowDxfId="60">
      <totalsRowFormula>COUNTIF(PresençasEmJulho[28],"U")+COUNTIF(PresençasEmJulho[28],"E")</totalsRowFormula>
    </tableColumn>
    <tableColumn id="30" xr3:uid="{00000000-0010-0000-0C00-00001E000000}" name="29" totalsRowFunction="custom" dataDxfId="59" totalsRowDxfId="58">
      <totalsRowFormula>COUNTIF(PresençasEmJulho[29],"U")+COUNTIF(PresençasEmJulho[29],"E")</totalsRowFormula>
    </tableColumn>
    <tableColumn id="31" xr3:uid="{00000000-0010-0000-0C00-00001F000000}" name="30" dataDxfId="57" totalsRowDxfId="56"/>
    <tableColumn id="32" xr3:uid="{00000000-0010-0000-0C00-000020000000}" name="31" dataDxfId="55" totalsRowDxfId="54"/>
    <tableColumn id="35" xr3:uid="{00000000-0010-0000-0C00-000023000000}" name="T" totalsRowFunction="sum" dataDxfId="53" totalsRowDxfId="52">
      <calculatedColumnFormula>COUNTIF(PresençasEmJulho[[#This Row],[1]:[31]],Código1)</calculatedColumnFormula>
    </tableColumn>
    <tableColumn id="34" xr3:uid="{00000000-0010-0000-0C00-000022000000}" name="E" totalsRowFunction="sum" dataDxfId="51" totalsRowDxfId="50">
      <calculatedColumnFormula>COUNTIF(PresençasEmJulho[[#This Row],[1]:[31]],Código2)</calculatedColumnFormula>
    </tableColumn>
    <tableColumn id="37" xr3:uid="{00000000-0010-0000-0C00-000025000000}" name="U" totalsRowFunction="sum" dataDxfId="49" totalsRowDxfId="48">
      <calculatedColumnFormula>COUNTIF(PresençasEmJulho[[#This Row],[1]:[31]],Código3)</calculatedColumnFormula>
    </tableColumn>
    <tableColumn id="36" xr3:uid="{00000000-0010-0000-0C00-000024000000}" name="P" totalsRowFunction="sum" dataDxfId="47" totalsRowDxfId="46">
      <calculatedColumnFormula>COUNTIF(PresençasEmJulho[[#This Row],[1]:[31]],Código4)</calculatedColumnFormula>
    </tableColumn>
    <tableColumn id="33" xr3:uid="{00000000-0010-0000-0C00-000021000000}" name="Dias de Ausência" totalsRowFunction="sum" dataDxfId="45" totalsRowDxfId="44"/>
  </tableColumns>
  <tableStyleInfo name="Employee Absence Table" showFirstColumn="0" showLastColumn="0" showRowStripes="1" showColumnStripes="1"/>
  <extLst>
    <ext xmlns:x14="http://schemas.microsoft.com/office/spreadsheetml/2009/9/main" uri="{504A1905-F514-4f6f-8877-14C23A59335A}">
      <x14:table altText="Relatório de Presenças de Fevereiro" altTextSummary="Regista as Presenças dos estudantes, tal como A=Atrasado, J=Justificado, I=Injustificado, P=Presente, N=Não há Escola, para o mês de julho. "/>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PresençasEmDezembro" displayName="PresençasEmDezembro" ref="B6:AM19" totalsRowCount="1" totalsRowDxfId="960">
  <tableColumns count="38">
    <tableColumn id="38" xr3:uid="{00000000-0010-0000-0500-000026000000}" name="ID de Estudante" totalsRowDxfId="959"/>
    <tableColumn id="1" xr3:uid="{00000000-0010-0000-0500-000001000000}" name="Nome do Estudante" totalsRowLabel="Total de dias de ausência" dataDxfId="958" totalsRowDxfId="957"/>
    <tableColumn id="2" xr3:uid="{00000000-0010-0000-0500-000002000000}" name="1" totalsRowFunction="custom" dataDxfId="956" totalsRowDxfId="955">
      <totalsRowFormula>COUNTIF(PresençasEmDezembro[1],"U")+COUNTIF(PresençasEmDezembro[1],"E")</totalsRowFormula>
    </tableColumn>
    <tableColumn id="3" xr3:uid="{00000000-0010-0000-0500-000003000000}" name="2" totalsRowFunction="custom" dataDxfId="954" totalsRowDxfId="953">
      <totalsRowFormula>COUNTIF(PresençasEmDezembro[2],"U")+COUNTIF(PresençasEmDezembro[2],"E")</totalsRowFormula>
    </tableColumn>
    <tableColumn id="4" xr3:uid="{00000000-0010-0000-0500-000004000000}" name="3" totalsRowFunction="custom" dataDxfId="952" totalsRowDxfId="951">
      <totalsRowFormula>COUNTIF(PresençasEmDezembro[3],"U")+COUNTIF(PresençasEmDezembro[3],"E")</totalsRowFormula>
    </tableColumn>
    <tableColumn id="5" xr3:uid="{00000000-0010-0000-0500-000005000000}" name="4" totalsRowFunction="custom" dataDxfId="950" totalsRowDxfId="949">
      <totalsRowFormula>COUNTIF(PresençasEmDezembro[4],"U")+COUNTIF(PresençasEmDezembro[4],"E")</totalsRowFormula>
    </tableColumn>
    <tableColumn id="6" xr3:uid="{00000000-0010-0000-0500-000006000000}" name="5" totalsRowFunction="custom" dataDxfId="948" totalsRowDxfId="947">
      <totalsRowFormula>COUNTIF(PresençasEmDezembro[5],"U")+COUNTIF(PresençasEmDezembro[5],"E")</totalsRowFormula>
    </tableColumn>
    <tableColumn id="7" xr3:uid="{00000000-0010-0000-0500-000007000000}" name="6" totalsRowFunction="custom" dataDxfId="946" totalsRowDxfId="945">
      <totalsRowFormula>COUNTIF(PresençasEmDezembro[6],"U")+COUNTIF(PresençasEmDezembro[6],"E")</totalsRowFormula>
    </tableColumn>
    <tableColumn id="8" xr3:uid="{00000000-0010-0000-0500-000008000000}" name="7" totalsRowFunction="custom" dataDxfId="944" totalsRowDxfId="943">
      <totalsRowFormula>COUNTIF(PresençasEmDezembro[7],"U")+COUNTIF(PresençasEmDezembro[7],"E")</totalsRowFormula>
    </tableColumn>
    <tableColumn id="9" xr3:uid="{00000000-0010-0000-0500-000009000000}" name="8" totalsRowFunction="custom" dataDxfId="942" totalsRowDxfId="941">
      <totalsRowFormula>COUNTIF(PresençasEmDezembro[8],"U")+COUNTIF(PresençasEmDezembro[8],"E")</totalsRowFormula>
    </tableColumn>
    <tableColumn id="10" xr3:uid="{00000000-0010-0000-0500-00000A000000}" name="9" totalsRowFunction="custom" dataDxfId="940" totalsRowDxfId="939">
      <totalsRowFormula>COUNTIF(PresençasEmDezembro[9],"U")+COUNTIF(PresençasEmDezembro[9],"E")</totalsRowFormula>
    </tableColumn>
    <tableColumn id="11" xr3:uid="{00000000-0010-0000-0500-00000B000000}" name="10" totalsRowFunction="custom" dataDxfId="938" totalsRowDxfId="937">
      <totalsRowFormula>COUNTIF(PresençasEmDezembro[10],"U")+COUNTIF(PresençasEmDezembro[10],"E")</totalsRowFormula>
    </tableColumn>
    <tableColumn id="12" xr3:uid="{00000000-0010-0000-0500-00000C000000}" name="11" totalsRowFunction="custom" dataDxfId="936" totalsRowDxfId="935">
      <totalsRowFormula>COUNTIF(PresençasEmDezembro[11],"U")+COUNTIF(PresençasEmDezembro[11],"E")</totalsRowFormula>
    </tableColumn>
    <tableColumn id="13" xr3:uid="{00000000-0010-0000-0500-00000D000000}" name="12" totalsRowFunction="custom" dataDxfId="934" totalsRowDxfId="933">
      <totalsRowFormula>COUNTIF(PresençasEmDezembro[12],"U")+COUNTIF(PresençasEmDezembro[12],"E")</totalsRowFormula>
    </tableColumn>
    <tableColumn id="14" xr3:uid="{00000000-0010-0000-0500-00000E000000}" name="13" totalsRowFunction="custom" dataDxfId="932" totalsRowDxfId="931">
      <totalsRowFormula>COUNTIF(PresençasEmDezembro[13],"U")+COUNTIF(PresençasEmDezembro[13],"E")</totalsRowFormula>
    </tableColumn>
    <tableColumn id="15" xr3:uid="{00000000-0010-0000-0500-00000F000000}" name="14" totalsRowFunction="custom" dataDxfId="930" totalsRowDxfId="929">
      <totalsRowFormula>COUNTIF(PresençasEmDezembro[14],"U")+COUNTIF(PresençasEmDezembro[14],"E")</totalsRowFormula>
    </tableColumn>
    <tableColumn id="16" xr3:uid="{00000000-0010-0000-0500-000010000000}" name="15" totalsRowFunction="custom" dataDxfId="928" totalsRowDxfId="927">
      <totalsRowFormula>COUNTIF(PresençasEmDezembro[15],"U")+COUNTIF(PresençasEmDezembro[15],"E")</totalsRowFormula>
    </tableColumn>
    <tableColumn id="17" xr3:uid="{00000000-0010-0000-0500-000011000000}" name="16" totalsRowFunction="custom" dataDxfId="926" totalsRowDxfId="925">
      <totalsRowFormula>COUNTIF(PresençasEmDezembro[16],"U")+COUNTIF(PresençasEmDezembro[16],"E")</totalsRowFormula>
    </tableColumn>
    <tableColumn id="18" xr3:uid="{00000000-0010-0000-0500-000012000000}" name="17" totalsRowFunction="custom" dataDxfId="924" totalsRowDxfId="923">
      <totalsRowFormula>COUNTIF(PresençasEmDezembro[17],"U")+COUNTIF(PresençasEmDezembro[17],"E")</totalsRowFormula>
    </tableColumn>
    <tableColumn id="19" xr3:uid="{00000000-0010-0000-0500-000013000000}" name="18" totalsRowFunction="custom" dataDxfId="922" totalsRowDxfId="921">
      <totalsRowFormula>COUNTIF(PresençasEmDezembro[18],"U")+COUNTIF(PresençasEmDezembro[18],"E")</totalsRowFormula>
    </tableColumn>
    <tableColumn id="20" xr3:uid="{00000000-0010-0000-0500-000014000000}" name="19" totalsRowFunction="custom" dataDxfId="920" totalsRowDxfId="919">
      <totalsRowFormula>COUNTIF(PresençasEmDezembro[19],"U")+COUNTIF(PresençasEmDezembro[19],"E")</totalsRowFormula>
    </tableColumn>
    <tableColumn id="21" xr3:uid="{00000000-0010-0000-0500-000015000000}" name="20" totalsRowFunction="custom" dataDxfId="918" totalsRowDxfId="917">
      <totalsRowFormula>COUNTIF(PresençasEmDezembro[20],"U")+COUNTIF(PresençasEmDezembro[20],"E")</totalsRowFormula>
    </tableColumn>
    <tableColumn id="22" xr3:uid="{00000000-0010-0000-0500-000016000000}" name="21" totalsRowFunction="custom" dataDxfId="916" totalsRowDxfId="915">
      <totalsRowFormula>COUNTIF(PresençasEmDezembro[21],"U")+COUNTIF(PresençasEmDezembro[21],"E")</totalsRowFormula>
    </tableColumn>
    <tableColumn id="23" xr3:uid="{00000000-0010-0000-0500-000017000000}" name="22" totalsRowFunction="custom" dataDxfId="914" totalsRowDxfId="913">
      <totalsRowFormula>COUNTIF(PresençasEmDezembro[22],"U")+COUNTIF(PresençasEmDezembro[22],"E")</totalsRowFormula>
    </tableColumn>
    <tableColumn id="24" xr3:uid="{00000000-0010-0000-0500-000018000000}" name="23" totalsRowFunction="custom" dataDxfId="912" totalsRowDxfId="911">
      <totalsRowFormula>COUNTIF(PresençasEmDezembro[23],"U")+COUNTIF(PresençasEmDezembro[23],"E")</totalsRowFormula>
    </tableColumn>
    <tableColumn id="25" xr3:uid="{00000000-0010-0000-0500-000019000000}" name="24" totalsRowFunction="custom" dataDxfId="910" totalsRowDxfId="909">
      <totalsRowFormula>COUNTIF(PresençasEmDezembro[24],"U")+COUNTIF(PresençasEmDezembro[24],"E")</totalsRowFormula>
    </tableColumn>
    <tableColumn id="26" xr3:uid="{00000000-0010-0000-0500-00001A000000}" name="25" totalsRowFunction="custom" dataDxfId="908" totalsRowDxfId="907">
      <totalsRowFormula>COUNTIF(PresençasEmDezembro[25],"U")+COUNTIF(PresençasEmDezembro[25],"E")</totalsRowFormula>
    </tableColumn>
    <tableColumn id="27" xr3:uid="{00000000-0010-0000-0500-00001B000000}" name="26" totalsRowFunction="custom" dataDxfId="906" totalsRowDxfId="905">
      <totalsRowFormula>COUNTIF(PresençasEmDezembro[26],"U")+COUNTIF(PresençasEmDezembro[26],"E")</totalsRowFormula>
    </tableColumn>
    <tableColumn id="28" xr3:uid="{00000000-0010-0000-0500-00001C000000}" name="27" totalsRowFunction="custom" dataDxfId="904" totalsRowDxfId="903">
      <totalsRowFormula>COUNTIF(PresençasEmDezembro[27],"U")+COUNTIF(PresençasEmDezembro[27],"E")</totalsRowFormula>
    </tableColumn>
    <tableColumn id="29" xr3:uid="{00000000-0010-0000-0500-00001D000000}" name="28" totalsRowFunction="custom" dataDxfId="902" totalsRowDxfId="901">
      <totalsRowFormula>COUNTIF(PresençasEmDezembro[28],"U")+COUNTIF(PresençasEmDezembro[28],"E")</totalsRowFormula>
    </tableColumn>
    <tableColumn id="30" xr3:uid="{00000000-0010-0000-0500-00001E000000}" name="29" totalsRowFunction="custom" dataDxfId="900" totalsRowDxfId="899">
      <totalsRowFormula>COUNTIF(PresençasEmDezembro[29],"U")+COUNTIF(PresençasEmDezembro[29],"E")</totalsRowFormula>
    </tableColumn>
    <tableColumn id="31" xr3:uid="{00000000-0010-0000-0500-00001F000000}" name="30" totalsRowFunction="custom" totalsRowDxfId="898">
      <totalsRowFormula>COUNTIF(PresençasEmDezembro[30],"U")+COUNTIF(PresençasEmDezembro[30],"E")</totalsRowFormula>
    </tableColumn>
    <tableColumn id="32" xr3:uid="{00000000-0010-0000-0500-000020000000}" name="31" totalsRowFunction="custom" totalsRowDxfId="897">
      <totalsRowFormula>COUNTIF(PresençasEmDezembro[31],"U")+COUNTIF(PresençasEmDezembro[31],"E")</totalsRowFormula>
    </tableColumn>
    <tableColumn id="35" xr3:uid="{00000000-0010-0000-0500-000023000000}" name="T" totalsRowFunction="sum" dataDxfId="896" totalsRowDxfId="895">
      <calculatedColumnFormula>COUNTIF(PresençasEmDezembro[[#This Row],[1]:[31]],Código1)</calculatedColumnFormula>
    </tableColumn>
    <tableColumn id="34" xr3:uid="{00000000-0010-0000-0500-000022000000}" name="E" totalsRowFunction="sum" dataDxfId="894" totalsRowDxfId="893">
      <calculatedColumnFormula>COUNTIF(PresençasEmDezembro[[#This Row],[1]:[31]],Código2)</calculatedColumnFormula>
    </tableColumn>
    <tableColumn id="37" xr3:uid="{00000000-0010-0000-0500-000025000000}" name="U" totalsRowFunction="sum" dataDxfId="892" totalsRowDxfId="891">
      <calculatedColumnFormula>COUNTIF(PresençasEmDezembro[[#This Row],[1]:[31]],Código3)</calculatedColumnFormula>
    </tableColumn>
    <tableColumn id="36" xr3:uid="{00000000-0010-0000-0500-000024000000}" name="P" totalsRowFunction="sum" dataDxfId="890" totalsRowDxfId="889">
      <calculatedColumnFormula>COUNTIF(PresençasEmDezembro[[#This Row],[1]:[31]],Código4)</calculatedColumnFormula>
    </tableColumn>
    <tableColumn id="33" xr3:uid="{00000000-0010-0000-0500-000021000000}" name="Dias de Ausência" totalsRowFunction="sum" totalsRowDxfId="888"/>
  </tableColumns>
  <tableStyleInfo name="Employee Absence Table" showFirstColumn="0" showLastColumn="1" showRowStripes="1" showColumnStripes="1"/>
  <extLst>
    <ext xmlns:x14="http://schemas.microsoft.com/office/spreadsheetml/2009/9/main" uri="{504A1905-F514-4f6f-8877-14C23A59335A}">
      <x14:table altText="Relatório de Presenças de Agosto" altTextSummary="Regista as Presenças dos estudantes, tal como A=Atrasado, J=Justificado, I=Injustificado, P=Presente, N=Não há Escola, para o mês de dezembro."/>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PresençasEmAgosto" displayName="PresençasEmAgosto" ref="B6:AM19" totalsRowCount="1" totalsRowDxfId="882">
  <tableColumns count="38">
    <tableColumn id="38" xr3:uid="{00000000-0010-0000-0100-000026000000}" name="ID de Estudante" dataDxfId="881" totalsRowDxfId="37"/>
    <tableColumn id="1" xr3:uid="{00000000-0010-0000-0100-000001000000}" name="Nome do Estudante" totalsRowLabel="Total de dias de ausência" dataDxfId="880" totalsRowDxfId="36"/>
    <tableColumn id="2" xr3:uid="{00000000-0010-0000-0100-000002000000}" name="1" totalsRowFunction="custom" totalsRowDxfId="35">
      <totalsRowFormula>COUNTIF(PresençasEmAgosto[1],"U")+COUNTIF(PresençasEmAgosto[1],"E")</totalsRowFormula>
    </tableColumn>
    <tableColumn id="3" xr3:uid="{00000000-0010-0000-0100-000003000000}" name="2" totalsRowFunction="custom" totalsRowDxfId="34">
      <totalsRowFormula>COUNTIF(PresençasEmAgosto[2],"U")+COUNTIF(PresençasEmAgosto[2],"E")</totalsRowFormula>
    </tableColumn>
    <tableColumn id="4" xr3:uid="{00000000-0010-0000-0100-000004000000}" name="3" totalsRowFunction="custom" totalsRowDxfId="33">
      <totalsRowFormula>COUNTIF(PresençasEmAgosto[3],"U")+COUNTIF(PresençasEmAgosto[3],"E")</totalsRowFormula>
    </tableColumn>
    <tableColumn id="5" xr3:uid="{00000000-0010-0000-0100-000005000000}" name="4" totalsRowFunction="custom" totalsRowDxfId="32">
      <totalsRowFormula>COUNTIF(PresençasEmAgosto[4],"U")+COUNTIF(PresençasEmAgosto[4],"E")</totalsRowFormula>
    </tableColumn>
    <tableColumn id="6" xr3:uid="{00000000-0010-0000-0100-000006000000}" name="5" totalsRowFunction="custom" totalsRowDxfId="31">
      <totalsRowFormula>COUNTIF(PresençasEmAgosto[5],"U")+COUNTIF(PresençasEmAgosto[5],"E")</totalsRowFormula>
    </tableColumn>
    <tableColumn id="7" xr3:uid="{00000000-0010-0000-0100-000007000000}" name="6" totalsRowFunction="custom" totalsRowDxfId="30">
      <totalsRowFormula>COUNTIF(PresençasEmAgosto[6],"U")+COUNTIF(PresençasEmAgosto[6],"E")</totalsRowFormula>
    </tableColumn>
    <tableColumn id="8" xr3:uid="{00000000-0010-0000-0100-000008000000}" name="7" totalsRowFunction="custom" totalsRowDxfId="29">
      <totalsRowFormula>COUNTIF(PresençasEmAgosto[7],"U")+COUNTIF(PresençasEmAgosto[7],"E")</totalsRowFormula>
    </tableColumn>
    <tableColumn id="9" xr3:uid="{00000000-0010-0000-0100-000009000000}" name="8" totalsRowFunction="custom" totalsRowDxfId="28">
      <totalsRowFormula>COUNTIF(PresençasEmAgosto[8],"U")+COUNTIF(PresençasEmAgosto[8],"E")</totalsRowFormula>
    </tableColumn>
    <tableColumn id="10" xr3:uid="{00000000-0010-0000-0100-00000A000000}" name="9" totalsRowFunction="custom" totalsRowDxfId="27">
      <totalsRowFormula>COUNTIF(PresençasEmAgosto[9],"U")+COUNTIF(PresençasEmAgosto[9],"E")</totalsRowFormula>
    </tableColumn>
    <tableColumn id="11" xr3:uid="{00000000-0010-0000-0100-00000B000000}" name="10" totalsRowFunction="custom" totalsRowDxfId="26">
      <totalsRowFormula>COUNTIF(PresençasEmAgosto[10],"U")+COUNTIF(PresençasEmAgosto[10],"E")</totalsRowFormula>
    </tableColumn>
    <tableColumn id="12" xr3:uid="{00000000-0010-0000-0100-00000C000000}" name="11" totalsRowFunction="custom" totalsRowDxfId="25">
      <totalsRowFormula>COUNTIF(PresençasEmAgosto[11],"U")+COUNTIF(PresençasEmAgosto[11],"E")</totalsRowFormula>
    </tableColumn>
    <tableColumn id="13" xr3:uid="{00000000-0010-0000-0100-00000D000000}" name="12" totalsRowFunction="custom" totalsRowDxfId="24">
      <totalsRowFormula>COUNTIF(PresençasEmAgosto[12],"U")+COUNTIF(PresençasEmAgosto[12],"E")</totalsRowFormula>
    </tableColumn>
    <tableColumn id="14" xr3:uid="{00000000-0010-0000-0100-00000E000000}" name="13" totalsRowFunction="custom" totalsRowDxfId="23">
      <totalsRowFormula>COUNTIF(PresençasEmAgosto[13],"U")+COUNTIF(PresençasEmAgosto[13],"E")</totalsRowFormula>
    </tableColumn>
    <tableColumn id="15" xr3:uid="{00000000-0010-0000-0100-00000F000000}" name="14" totalsRowFunction="custom" totalsRowDxfId="22">
      <totalsRowFormula>COUNTIF(PresençasEmAgosto[14],"U")+COUNTIF(PresençasEmAgosto[14],"E")</totalsRowFormula>
    </tableColumn>
    <tableColumn id="16" xr3:uid="{00000000-0010-0000-0100-000010000000}" name="15" totalsRowFunction="custom" totalsRowDxfId="21">
      <totalsRowFormula>COUNTIF(PresençasEmAgosto[15],"U")+COUNTIF(PresençasEmAgosto[15],"E")</totalsRowFormula>
    </tableColumn>
    <tableColumn id="17" xr3:uid="{00000000-0010-0000-0100-000011000000}" name="16" totalsRowFunction="custom" totalsRowDxfId="20">
      <totalsRowFormula>COUNTIF(PresençasEmAgosto[16],"U")+COUNTIF(PresençasEmAgosto[16],"E")</totalsRowFormula>
    </tableColumn>
    <tableColumn id="18" xr3:uid="{00000000-0010-0000-0100-000012000000}" name="17" totalsRowFunction="custom" totalsRowDxfId="19">
      <totalsRowFormula>COUNTIF(PresençasEmAgosto[17],"U")+COUNTIF(PresençasEmAgosto[17],"E")</totalsRowFormula>
    </tableColumn>
    <tableColumn id="19" xr3:uid="{00000000-0010-0000-0100-000013000000}" name="18" totalsRowFunction="custom" totalsRowDxfId="18">
      <totalsRowFormula>COUNTIF(PresençasEmAgosto[18],"U")+COUNTIF(PresençasEmAgosto[18],"E")</totalsRowFormula>
    </tableColumn>
    <tableColumn id="20" xr3:uid="{00000000-0010-0000-0100-000014000000}" name="19" totalsRowFunction="custom" totalsRowDxfId="17">
      <totalsRowFormula>COUNTIF(PresençasEmAgosto[19],"U")+COUNTIF(PresençasEmAgosto[19],"E")</totalsRowFormula>
    </tableColumn>
    <tableColumn id="21" xr3:uid="{00000000-0010-0000-0100-000015000000}" name="20" totalsRowFunction="custom" totalsRowDxfId="16">
      <totalsRowFormula>COUNTIF(PresençasEmAgosto[20],"U")+COUNTIF(PresençasEmAgosto[20],"E")</totalsRowFormula>
    </tableColumn>
    <tableColumn id="22" xr3:uid="{00000000-0010-0000-0100-000016000000}" name="21" totalsRowFunction="custom" totalsRowDxfId="15">
      <totalsRowFormula>COUNTIF(PresençasEmAgosto[21],"U")+COUNTIF(PresençasEmAgosto[21],"E")</totalsRowFormula>
    </tableColumn>
    <tableColumn id="23" xr3:uid="{00000000-0010-0000-0100-000017000000}" name="22" totalsRowFunction="custom" totalsRowDxfId="14">
      <totalsRowFormula>COUNTIF(PresençasEmAgosto[22],"U")+COUNTIF(PresençasEmAgosto[22],"E")</totalsRowFormula>
    </tableColumn>
    <tableColumn id="24" xr3:uid="{00000000-0010-0000-0100-000018000000}" name="23" totalsRowFunction="custom" totalsRowDxfId="13">
      <totalsRowFormula>COUNTIF(PresençasEmAgosto[23],"U")+COUNTIF(PresençasEmAgosto[23],"E")</totalsRowFormula>
    </tableColumn>
    <tableColumn id="25" xr3:uid="{00000000-0010-0000-0100-000019000000}" name="24" totalsRowFunction="custom" totalsRowDxfId="12">
      <totalsRowFormula>COUNTIF(PresençasEmAgosto[24],"U")+COUNTIF(PresençasEmAgosto[24],"E")</totalsRowFormula>
    </tableColumn>
    <tableColumn id="26" xr3:uid="{00000000-0010-0000-0100-00001A000000}" name="25" totalsRowFunction="custom" totalsRowDxfId="11">
      <totalsRowFormula>COUNTIF(PresençasEmAgosto[25],"U")+COUNTIF(PresençasEmAgosto[25],"E")</totalsRowFormula>
    </tableColumn>
    <tableColumn id="27" xr3:uid="{00000000-0010-0000-0100-00001B000000}" name="26" totalsRowFunction="custom" totalsRowDxfId="10">
      <totalsRowFormula>COUNTIF(PresençasEmAgosto[26],"U")+COUNTIF(PresençasEmAgosto[26],"E")</totalsRowFormula>
    </tableColumn>
    <tableColumn id="28" xr3:uid="{00000000-0010-0000-0100-00001C000000}" name="27" totalsRowFunction="custom" totalsRowDxfId="9">
      <totalsRowFormula>COUNTIF(PresençasEmAgosto[27],"U")+COUNTIF(PresençasEmAgosto[27],"E")</totalsRowFormula>
    </tableColumn>
    <tableColumn id="29" xr3:uid="{00000000-0010-0000-0100-00001D000000}" name="28" totalsRowFunction="custom" totalsRowDxfId="8">
      <totalsRowFormula>COUNTIF(PresençasEmAgosto[28],"U")+COUNTIF(PresençasEmAgosto[28],"E")</totalsRowFormula>
    </tableColumn>
    <tableColumn id="30" xr3:uid="{00000000-0010-0000-0100-00001E000000}" name="29" totalsRowFunction="custom" totalsRowDxfId="7">
      <totalsRowFormula>COUNTIF(PresençasEmAgosto[29],"U")+COUNTIF(PresençasEmAgosto[29],"E")</totalsRowFormula>
    </tableColumn>
    <tableColumn id="31" xr3:uid="{00000000-0010-0000-0100-00001F000000}" name="30" totalsRowFunction="custom" totalsRowDxfId="6">
      <totalsRowFormula>COUNTIF(PresençasEmAgosto[30],"U")+COUNTIF(PresençasEmAgosto[30],"E")</totalsRowFormula>
    </tableColumn>
    <tableColumn id="32" xr3:uid="{00000000-0010-0000-0100-000020000000}" name="31" totalsRowFunction="custom" totalsRowDxfId="5">
      <totalsRowFormula>COUNTIF(PresençasEmAgosto[31],"U")+COUNTIF(PresençasEmAgosto[31],"E")</totalsRowFormula>
    </tableColumn>
    <tableColumn id="35" xr3:uid="{00000000-0010-0000-0100-000023000000}" name="T" totalsRowFunction="sum" dataDxfId="879" totalsRowDxfId="4">
      <calculatedColumnFormula>COUNTIF(PresençasEmAgosto[[#This Row],[1]:[31]],Código1)</calculatedColumnFormula>
    </tableColumn>
    <tableColumn id="34" xr3:uid="{00000000-0010-0000-0100-000022000000}" name="E" totalsRowFunction="sum" dataDxfId="878" totalsRowDxfId="3">
      <calculatedColumnFormula>COUNTIF(PresençasEmAgosto[[#This Row],[1]:[31]],Código2)</calculatedColumnFormula>
    </tableColumn>
    <tableColumn id="37" xr3:uid="{00000000-0010-0000-0100-000025000000}" name="U" totalsRowFunction="sum" dataDxfId="877" totalsRowDxfId="2">
      <calculatedColumnFormula>COUNTIF(PresençasEmAgosto[[#This Row],[1]:[31]],Código3)</calculatedColumnFormula>
    </tableColumn>
    <tableColumn id="36" xr3:uid="{00000000-0010-0000-0100-000024000000}" name="P" totalsRowFunction="sum" dataDxfId="876" totalsRowDxfId="1">
      <calculatedColumnFormula>COUNTIF(PresençasEmAgosto[[#This Row],[1]:[31]],Código4)</calculatedColumnFormula>
    </tableColumn>
    <tableColumn id="33" xr3:uid="{00000000-0010-0000-0100-000021000000}" name="Dias de Ausência" totalsRowFunction="sum" totalsRowDxfId="0"/>
  </tableColumns>
  <tableStyleInfo name="Employee Absence Table" showFirstColumn="0" showLastColumn="1" showRowStripes="1" showColumnStripes="1"/>
  <extLst>
    <ext xmlns:x14="http://schemas.microsoft.com/office/spreadsheetml/2009/9/main" uri="{504A1905-F514-4f6f-8877-14C23A59335A}">
      <x14:table altText="Relatório de Presenças de Agosto" altTextSummary="Regista as Presenças dos estudantes, tal como A=Atrasado, J=Justificado, I=Injustificado, P=Presente, N=Não há Escola, para o mês de agosto."/>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2000000}" name="PresençasEmSetembro" displayName="PresençasEmSetembro" ref="B6:AM12" totalsRowCount="1" totalsRowDxfId="865">
  <tableColumns count="38">
    <tableColumn id="38" xr3:uid="{00000000-0010-0000-0200-000026000000}" name="ID de Estudante" totalsRowDxfId="864"/>
    <tableColumn id="1" xr3:uid="{00000000-0010-0000-0200-000001000000}" name="Nome do Estudante" totalsRowLabel="Total de dias de ausência" dataDxfId="863" totalsRowDxfId="862"/>
    <tableColumn id="2" xr3:uid="{00000000-0010-0000-0200-000002000000}" name="1" totalsRowFunction="custom" dataDxfId="861" totalsRowDxfId="860">
      <totalsRowFormula>COUNTIF(PresençasEmSetembro[1],"U")+COUNTIF(PresençasEmSetembro[1],"E")</totalsRowFormula>
    </tableColumn>
    <tableColumn id="3" xr3:uid="{00000000-0010-0000-0200-000003000000}" name="2" totalsRowFunction="custom" dataDxfId="859" totalsRowDxfId="858">
      <totalsRowFormula>COUNTIF(PresençasEmSetembro[2],"U")+COUNTIF(PresençasEmSetembro[2],"E")</totalsRowFormula>
    </tableColumn>
    <tableColumn id="4" xr3:uid="{00000000-0010-0000-0200-000004000000}" name="3" totalsRowFunction="custom" dataDxfId="857" totalsRowDxfId="856">
      <totalsRowFormula>COUNTIF(PresençasEmSetembro[3],"U")+COUNTIF(PresençasEmSetembro[3],"E")</totalsRowFormula>
    </tableColumn>
    <tableColumn id="5" xr3:uid="{00000000-0010-0000-0200-000005000000}" name="4" totalsRowFunction="custom" dataDxfId="855" totalsRowDxfId="854">
      <totalsRowFormula>COUNTIF(PresençasEmSetembro[4],"U")+COUNTIF(PresençasEmSetembro[4],"E")</totalsRowFormula>
    </tableColumn>
    <tableColumn id="6" xr3:uid="{00000000-0010-0000-0200-000006000000}" name="5" totalsRowFunction="custom" dataDxfId="853" totalsRowDxfId="852">
      <totalsRowFormula>COUNTIF(PresençasEmSetembro[5],"U")+COUNTIF(PresençasEmSetembro[5],"E")</totalsRowFormula>
    </tableColumn>
    <tableColumn id="7" xr3:uid="{00000000-0010-0000-0200-000007000000}" name="6" totalsRowFunction="custom" dataDxfId="851" totalsRowDxfId="850">
      <totalsRowFormula>COUNTIF(PresençasEmSetembro[6],"U")+COUNTIF(PresençasEmSetembro[6],"E")</totalsRowFormula>
    </tableColumn>
    <tableColumn id="8" xr3:uid="{00000000-0010-0000-0200-000008000000}" name="7" totalsRowFunction="custom" dataDxfId="849" totalsRowDxfId="848">
      <totalsRowFormula>COUNTIF(PresençasEmSetembro[7],"U")+COUNTIF(PresençasEmSetembro[7],"E")</totalsRowFormula>
    </tableColumn>
    <tableColumn id="9" xr3:uid="{00000000-0010-0000-0200-000009000000}" name="8" totalsRowFunction="custom" dataDxfId="847" totalsRowDxfId="846">
      <totalsRowFormula>COUNTIF(PresençasEmSetembro[8],"U")+COUNTIF(PresençasEmSetembro[8],"E")</totalsRowFormula>
    </tableColumn>
    <tableColumn id="10" xr3:uid="{00000000-0010-0000-0200-00000A000000}" name="9" totalsRowFunction="custom" dataDxfId="845" totalsRowDxfId="844">
      <totalsRowFormula>COUNTIF(PresençasEmSetembro[9],"U")+COUNTIF(PresençasEmSetembro[9],"E")</totalsRowFormula>
    </tableColumn>
    <tableColumn id="11" xr3:uid="{00000000-0010-0000-0200-00000B000000}" name="10" totalsRowFunction="custom" dataDxfId="843" totalsRowDxfId="842">
      <totalsRowFormula>COUNTIF(PresençasEmSetembro[10],"U")+COUNTIF(PresençasEmSetembro[10],"E")</totalsRowFormula>
    </tableColumn>
    <tableColumn id="12" xr3:uid="{00000000-0010-0000-0200-00000C000000}" name="11" totalsRowFunction="custom" dataDxfId="841" totalsRowDxfId="840">
      <totalsRowFormula>COUNTIF(PresençasEmSetembro[11],"U")+COUNTIF(PresençasEmSetembro[11],"E")</totalsRowFormula>
    </tableColumn>
    <tableColumn id="13" xr3:uid="{00000000-0010-0000-0200-00000D000000}" name="12" totalsRowFunction="custom" dataDxfId="839" totalsRowDxfId="838">
      <totalsRowFormula>COUNTIF(PresençasEmSetembro[12],"U")+COUNTIF(PresençasEmSetembro[12],"E")</totalsRowFormula>
    </tableColumn>
    <tableColumn id="14" xr3:uid="{00000000-0010-0000-0200-00000E000000}" name="13" totalsRowFunction="custom" dataDxfId="837" totalsRowDxfId="836">
      <totalsRowFormula>COUNTIF(PresençasEmSetembro[13],"U")+COUNTIF(PresençasEmSetembro[13],"E")</totalsRowFormula>
    </tableColumn>
    <tableColumn id="15" xr3:uid="{00000000-0010-0000-0200-00000F000000}" name="14" totalsRowFunction="custom" dataDxfId="835" totalsRowDxfId="834">
      <totalsRowFormula>COUNTIF(PresençasEmSetembro[14],"U")+COUNTIF(PresençasEmSetembro[14],"E")</totalsRowFormula>
    </tableColumn>
    <tableColumn id="16" xr3:uid="{00000000-0010-0000-0200-000010000000}" name="15" totalsRowFunction="custom" dataDxfId="833" totalsRowDxfId="832">
      <totalsRowFormula>COUNTIF(PresençasEmSetembro[15],"U")+COUNTIF(PresençasEmSetembro[15],"E")</totalsRowFormula>
    </tableColumn>
    <tableColumn id="17" xr3:uid="{00000000-0010-0000-0200-000011000000}" name="16" totalsRowFunction="custom" dataDxfId="831" totalsRowDxfId="830">
      <totalsRowFormula>COUNTIF(PresençasEmSetembro[16],"U")+COUNTIF(PresençasEmSetembro[16],"E")</totalsRowFormula>
    </tableColumn>
    <tableColumn id="18" xr3:uid="{00000000-0010-0000-0200-000012000000}" name="17" totalsRowFunction="custom" dataDxfId="829" totalsRowDxfId="828">
      <totalsRowFormula>COUNTIF(PresençasEmSetembro[17],"U")+COUNTIF(PresençasEmSetembro[17],"E")</totalsRowFormula>
    </tableColumn>
    <tableColumn id="19" xr3:uid="{00000000-0010-0000-0200-000013000000}" name="18" totalsRowFunction="custom" dataDxfId="827" totalsRowDxfId="826">
      <totalsRowFormula>COUNTIF(PresençasEmSetembro[18],"U")+COUNTIF(PresençasEmSetembro[18],"E")</totalsRowFormula>
    </tableColumn>
    <tableColumn id="20" xr3:uid="{00000000-0010-0000-0200-000014000000}" name="19" totalsRowFunction="custom" dataDxfId="825" totalsRowDxfId="824">
      <totalsRowFormula>COUNTIF(PresençasEmSetembro[19],"U")+COUNTIF(PresençasEmSetembro[19],"E")</totalsRowFormula>
    </tableColumn>
    <tableColumn id="21" xr3:uid="{00000000-0010-0000-0200-000015000000}" name="20" totalsRowFunction="custom" dataDxfId="823" totalsRowDxfId="822">
      <totalsRowFormula>COUNTIF(PresençasEmSetembro[20],"U")+COUNTIF(PresençasEmSetembro[20],"E")</totalsRowFormula>
    </tableColumn>
    <tableColumn id="22" xr3:uid="{00000000-0010-0000-0200-000016000000}" name="21" totalsRowFunction="custom" dataDxfId="821" totalsRowDxfId="820">
      <totalsRowFormula>COUNTIF(PresençasEmSetembro[21],"U")+COUNTIF(PresençasEmSetembro[21],"E")</totalsRowFormula>
    </tableColumn>
    <tableColumn id="23" xr3:uid="{00000000-0010-0000-0200-000017000000}" name="22" totalsRowFunction="custom" dataDxfId="819" totalsRowDxfId="818">
      <totalsRowFormula>COUNTIF(PresençasEmSetembro[22],"U")+COUNTIF(PresençasEmSetembro[22],"E")</totalsRowFormula>
    </tableColumn>
    <tableColumn id="24" xr3:uid="{00000000-0010-0000-0200-000018000000}" name="23" totalsRowFunction="custom" dataDxfId="817" totalsRowDxfId="816">
      <totalsRowFormula>COUNTIF(PresençasEmSetembro[23],"U")+COUNTIF(PresençasEmSetembro[23],"E")</totalsRowFormula>
    </tableColumn>
    <tableColumn id="25" xr3:uid="{00000000-0010-0000-0200-000019000000}" name="24" totalsRowFunction="custom" dataDxfId="815" totalsRowDxfId="814">
      <totalsRowFormula>COUNTIF(PresençasEmSetembro[24],"U")+COUNTIF(PresençasEmSetembro[24],"E")</totalsRowFormula>
    </tableColumn>
    <tableColumn id="26" xr3:uid="{00000000-0010-0000-0200-00001A000000}" name="25" totalsRowFunction="custom" dataDxfId="813" totalsRowDxfId="812">
      <totalsRowFormula>COUNTIF(PresençasEmSetembro[25],"U")+COUNTIF(PresençasEmSetembro[25],"E")</totalsRowFormula>
    </tableColumn>
    <tableColumn id="27" xr3:uid="{00000000-0010-0000-0200-00001B000000}" name="26" totalsRowFunction="custom" dataDxfId="811" totalsRowDxfId="810">
      <totalsRowFormula>COUNTIF(PresençasEmSetembro[26],"U")+COUNTIF(PresençasEmSetembro[26],"E")</totalsRowFormula>
    </tableColumn>
    <tableColumn id="28" xr3:uid="{00000000-0010-0000-0200-00001C000000}" name="27" totalsRowFunction="custom" dataDxfId="809" totalsRowDxfId="808">
      <totalsRowFormula>COUNTIF(PresençasEmSetembro[27],"U")+COUNTIF(PresençasEmSetembro[27],"E")</totalsRowFormula>
    </tableColumn>
    <tableColumn id="29" xr3:uid="{00000000-0010-0000-0200-00001D000000}" name="28" totalsRowFunction="custom" dataDxfId="807" totalsRowDxfId="806">
      <totalsRowFormula>COUNTIF(PresençasEmSetembro[28],"U")+COUNTIF(PresençasEmSetembro[28],"E")</totalsRowFormula>
    </tableColumn>
    <tableColumn id="30" xr3:uid="{00000000-0010-0000-0200-00001E000000}" name="29" totalsRowFunction="custom" dataDxfId="805" totalsRowDxfId="804">
      <totalsRowFormula>COUNTIF(PresençasEmSetembro[29],"U")+COUNTIF(PresençasEmSetembro[29],"E")</totalsRowFormula>
    </tableColumn>
    <tableColumn id="31" xr3:uid="{00000000-0010-0000-0200-00001F000000}" name="30" totalsRowFunction="custom" totalsRowDxfId="803">
      <totalsRowFormula>COUNTIF(PresençasEmSetembro[30],"U")+COUNTIF(PresençasEmSetembro[30],"E")</totalsRowFormula>
    </tableColumn>
    <tableColumn id="32" xr3:uid="{00000000-0010-0000-0200-000020000000}" name=" " totalsRowFunction="custom" totalsRowDxfId="802">
      <totalsRowFormula>COUNTIF(PresençasEmSetembro[[ ]],"U")+COUNTIF(PresençasEmSetembro[[ ]],"E")</totalsRowFormula>
    </tableColumn>
    <tableColumn id="35" xr3:uid="{00000000-0010-0000-0200-000023000000}" name="T" totalsRowFunction="sum" dataDxfId="801" totalsRowDxfId="800">
      <calculatedColumnFormula>COUNTIF(PresençasEmSetembro[[#This Row],[1]:[ ]],Código1)</calculatedColumnFormula>
    </tableColumn>
    <tableColumn id="34" xr3:uid="{00000000-0010-0000-0200-000022000000}" name="E" totalsRowFunction="sum" dataDxfId="799" totalsRowDxfId="798">
      <calculatedColumnFormula>COUNTIF(PresençasEmSetembro[[#This Row],[1]:[ ]],Código2)</calculatedColumnFormula>
    </tableColumn>
    <tableColumn id="37" xr3:uid="{00000000-0010-0000-0200-000025000000}" name="U" totalsRowFunction="custom" dataDxfId="797" totalsRowDxfId="796">
      <calculatedColumnFormula>COUNTIF(PresençasEmSetembro[[#This Row],[1]:[ ]],Código3)</calculatedColumnFormula>
      <totalsRowFormula>SUBTOTAL(109,PresençasEmSetembro[P])</totalsRowFormula>
    </tableColumn>
    <tableColumn id="36" xr3:uid="{00000000-0010-0000-0200-000024000000}" name="P" totalsRowFunction="sum" dataDxfId="795" totalsRowDxfId="794">
      <calculatedColumnFormula>COUNTIF(PresençasEmSetembro[[#This Row],[1]:[ ]],Código4)</calculatedColumnFormula>
    </tableColumn>
    <tableColumn id="33" xr3:uid="{00000000-0010-0000-0200-000021000000}" name="Dias de Ausência" totalsRowFunction="sum" totalsRowDxfId="793"/>
  </tableColumns>
  <tableStyleInfo name="Employee Absence Table" showFirstColumn="0" showLastColumn="1" showRowStripes="1" showColumnStripes="1"/>
  <extLst>
    <ext xmlns:x14="http://schemas.microsoft.com/office/spreadsheetml/2009/9/main" uri="{504A1905-F514-4f6f-8877-14C23A59335A}">
      <x14:table altText="Relatório de Presenças de Agosto" altTextSummary="Regista as Presenças dos estudantes, tal como A=Atrasado, J=Justificado, I=Injustificado, P=Presente, N=Não há Escola, para o mês de setembro."/>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PresençasEmOutubro" displayName="PresençasEmOutubro" ref="B6:AM12" totalsRowCount="1" totalsRowDxfId="782">
  <tableColumns count="38">
    <tableColumn id="38" xr3:uid="{00000000-0010-0000-0300-000026000000}" name="ID de Estudante" totalsRowDxfId="781"/>
    <tableColumn id="1" xr3:uid="{00000000-0010-0000-0300-000001000000}" name="Nome do Estudante" totalsRowLabel="Total de dias de ausência" dataDxfId="780" totalsRowDxfId="779"/>
    <tableColumn id="2" xr3:uid="{00000000-0010-0000-0300-000002000000}" name="1" totalsRowFunction="custom" dataDxfId="778" totalsRowDxfId="777">
      <totalsRowFormula>COUNTIF(PresençasEmOutubro[1],"U")+COUNTIF(PresençasEmOutubro[1],"E")</totalsRowFormula>
    </tableColumn>
    <tableColumn id="3" xr3:uid="{00000000-0010-0000-0300-000003000000}" name="2" totalsRowFunction="custom" dataDxfId="776" totalsRowDxfId="775">
      <totalsRowFormula>COUNTIF(PresençasEmOutubro[2],"U")+COUNTIF(PresençasEmOutubro[2],"E")</totalsRowFormula>
    </tableColumn>
    <tableColumn id="4" xr3:uid="{00000000-0010-0000-0300-000004000000}" name="3" totalsRowFunction="custom" dataDxfId="774" totalsRowDxfId="773">
      <totalsRowFormula>COUNTIF(PresençasEmOutubro[3],"U")+COUNTIF(PresençasEmOutubro[3],"E")</totalsRowFormula>
    </tableColumn>
    <tableColumn id="5" xr3:uid="{00000000-0010-0000-0300-000005000000}" name="4" totalsRowFunction="custom" dataDxfId="772" totalsRowDxfId="771">
      <totalsRowFormula>COUNTIF(PresençasEmOutubro[4],"U")+COUNTIF(PresençasEmOutubro[4],"E")</totalsRowFormula>
    </tableColumn>
    <tableColumn id="6" xr3:uid="{00000000-0010-0000-0300-000006000000}" name="5" totalsRowFunction="custom" dataDxfId="770" totalsRowDxfId="769">
      <totalsRowFormula>COUNTIF(PresençasEmOutubro[5],"U")+COUNTIF(PresençasEmOutubro[5],"E")</totalsRowFormula>
    </tableColumn>
    <tableColumn id="7" xr3:uid="{00000000-0010-0000-0300-000007000000}" name="6" totalsRowFunction="custom" dataDxfId="768" totalsRowDxfId="767">
      <totalsRowFormula>COUNTIF(PresençasEmOutubro[6],"U")+COUNTIF(PresençasEmOutubro[6],"E")</totalsRowFormula>
    </tableColumn>
    <tableColumn id="8" xr3:uid="{00000000-0010-0000-0300-000008000000}" name="7" totalsRowFunction="custom" dataDxfId="766" totalsRowDxfId="765">
      <totalsRowFormula>COUNTIF(PresençasEmOutubro[7],"U")+COUNTIF(PresençasEmOutubro[7],"E")</totalsRowFormula>
    </tableColumn>
    <tableColumn id="9" xr3:uid="{00000000-0010-0000-0300-000009000000}" name="8" totalsRowFunction="custom" dataDxfId="764" totalsRowDxfId="763">
      <totalsRowFormula>COUNTIF(PresençasEmOutubro[8],"U")+COUNTIF(PresençasEmOutubro[8],"E")</totalsRowFormula>
    </tableColumn>
    <tableColumn id="10" xr3:uid="{00000000-0010-0000-0300-00000A000000}" name="9" totalsRowFunction="custom" dataDxfId="762" totalsRowDxfId="761">
      <totalsRowFormula>COUNTIF(PresençasEmOutubro[9],"U")+COUNTIF(PresençasEmOutubro[9],"E")</totalsRowFormula>
    </tableColumn>
    <tableColumn id="11" xr3:uid="{00000000-0010-0000-0300-00000B000000}" name="10" totalsRowFunction="custom" dataDxfId="760" totalsRowDxfId="759">
      <totalsRowFormula>COUNTIF(PresençasEmOutubro[10],"U")+COUNTIF(PresençasEmOutubro[10],"E")</totalsRowFormula>
    </tableColumn>
    <tableColumn id="12" xr3:uid="{00000000-0010-0000-0300-00000C000000}" name="11" totalsRowFunction="custom" dataDxfId="758" totalsRowDxfId="757">
      <totalsRowFormula>COUNTIF(PresençasEmOutubro[11],"U")+COUNTIF(PresençasEmOutubro[11],"E")</totalsRowFormula>
    </tableColumn>
    <tableColumn id="13" xr3:uid="{00000000-0010-0000-0300-00000D000000}" name="12" totalsRowFunction="custom" dataDxfId="756" totalsRowDxfId="755">
      <totalsRowFormula>COUNTIF(PresençasEmOutubro[12],"U")+COUNTIF(PresençasEmOutubro[12],"E")</totalsRowFormula>
    </tableColumn>
    <tableColumn id="14" xr3:uid="{00000000-0010-0000-0300-00000E000000}" name="13" totalsRowFunction="custom" dataDxfId="754" totalsRowDxfId="753">
      <totalsRowFormula>COUNTIF(PresençasEmOutubro[13],"U")+COUNTIF(PresençasEmOutubro[13],"E")</totalsRowFormula>
    </tableColumn>
    <tableColumn id="15" xr3:uid="{00000000-0010-0000-0300-00000F000000}" name="14" totalsRowFunction="custom" dataDxfId="752" totalsRowDxfId="751">
      <totalsRowFormula>COUNTIF(PresençasEmOutubro[14],"U")+COUNTIF(PresençasEmOutubro[14],"E")</totalsRowFormula>
    </tableColumn>
    <tableColumn id="16" xr3:uid="{00000000-0010-0000-0300-000010000000}" name="15" totalsRowFunction="custom" dataDxfId="750" totalsRowDxfId="749">
      <totalsRowFormula>COUNTIF(PresençasEmOutubro[15],"U")+COUNTIF(PresençasEmOutubro[15],"E")</totalsRowFormula>
    </tableColumn>
    <tableColumn id="17" xr3:uid="{00000000-0010-0000-0300-000011000000}" name="16" totalsRowFunction="custom" dataDxfId="748" totalsRowDxfId="747">
      <totalsRowFormula>COUNTIF(PresençasEmOutubro[16],"U")+COUNTIF(PresençasEmOutubro[16],"E")</totalsRowFormula>
    </tableColumn>
    <tableColumn id="18" xr3:uid="{00000000-0010-0000-0300-000012000000}" name="17" totalsRowFunction="custom" dataDxfId="746" totalsRowDxfId="745">
      <totalsRowFormula>COUNTIF(PresençasEmOutubro[17],"U")+COUNTIF(PresençasEmOutubro[17],"E")</totalsRowFormula>
    </tableColumn>
    <tableColumn id="19" xr3:uid="{00000000-0010-0000-0300-000013000000}" name="18" totalsRowFunction="custom" dataDxfId="744" totalsRowDxfId="743">
      <totalsRowFormula>COUNTIF(PresençasEmOutubro[18],"U")+COUNTIF(PresençasEmOutubro[18],"E")</totalsRowFormula>
    </tableColumn>
    <tableColumn id="20" xr3:uid="{00000000-0010-0000-0300-000014000000}" name="19" totalsRowFunction="custom" dataDxfId="742" totalsRowDxfId="741">
      <totalsRowFormula>COUNTIF(PresençasEmOutubro[19],"U")+COUNTIF(PresençasEmOutubro[19],"E")</totalsRowFormula>
    </tableColumn>
    <tableColumn id="21" xr3:uid="{00000000-0010-0000-0300-000015000000}" name="20" totalsRowFunction="custom" dataDxfId="740" totalsRowDxfId="739">
      <totalsRowFormula>COUNTIF(PresençasEmOutubro[20],"U")+COUNTIF(PresençasEmOutubro[20],"E")</totalsRowFormula>
    </tableColumn>
    <tableColumn id="22" xr3:uid="{00000000-0010-0000-0300-000016000000}" name="21" totalsRowFunction="custom" dataDxfId="738" totalsRowDxfId="737">
      <totalsRowFormula>COUNTIF(PresençasEmOutubro[21],"U")+COUNTIF(PresençasEmOutubro[21],"E")</totalsRowFormula>
    </tableColumn>
    <tableColumn id="23" xr3:uid="{00000000-0010-0000-0300-000017000000}" name="22" totalsRowFunction="custom" dataDxfId="736" totalsRowDxfId="735">
      <totalsRowFormula>COUNTIF(PresençasEmOutubro[22],"U")+COUNTIF(PresençasEmOutubro[22],"E")</totalsRowFormula>
    </tableColumn>
    <tableColumn id="24" xr3:uid="{00000000-0010-0000-0300-000018000000}" name="23" totalsRowFunction="custom" dataDxfId="734" totalsRowDxfId="733">
      <totalsRowFormula>COUNTIF(PresençasEmOutubro[23],"U")+COUNTIF(PresençasEmOutubro[23],"E")</totalsRowFormula>
    </tableColumn>
    <tableColumn id="25" xr3:uid="{00000000-0010-0000-0300-000019000000}" name="24" totalsRowFunction="custom" dataDxfId="732" totalsRowDxfId="731">
      <totalsRowFormula>COUNTIF(PresençasEmOutubro[24],"U")+COUNTIF(PresençasEmOutubro[24],"E")</totalsRowFormula>
    </tableColumn>
    <tableColumn id="26" xr3:uid="{00000000-0010-0000-0300-00001A000000}" name="25" totalsRowFunction="custom" dataDxfId="730" totalsRowDxfId="729">
      <totalsRowFormula>COUNTIF(PresençasEmOutubro[25],"U")+COUNTIF(PresençasEmOutubro[25],"E")</totalsRowFormula>
    </tableColumn>
    <tableColumn id="27" xr3:uid="{00000000-0010-0000-0300-00001B000000}" name="26" totalsRowFunction="custom" dataDxfId="728" totalsRowDxfId="727">
      <totalsRowFormula>COUNTIF(PresençasEmOutubro[26],"U")+COUNTIF(PresençasEmOutubro[26],"E")</totalsRowFormula>
    </tableColumn>
    <tableColumn id="28" xr3:uid="{00000000-0010-0000-0300-00001C000000}" name="27" totalsRowFunction="custom" dataDxfId="726" totalsRowDxfId="725">
      <totalsRowFormula>COUNTIF(PresençasEmOutubro[27],"U")+COUNTIF(PresençasEmOutubro[27],"E")</totalsRowFormula>
    </tableColumn>
    <tableColumn id="29" xr3:uid="{00000000-0010-0000-0300-00001D000000}" name="28" totalsRowFunction="custom" dataDxfId="724" totalsRowDxfId="723">
      <totalsRowFormula>COUNTIF(PresençasEmOutubro[28],"U")+COUNTIF(PresençasEmOutubro[28],"E")</totalsRowFormula>
    </tableColumn>
    <tableColumn id="30" xr3:uid="{00000000-0010-0000-0300-00001E000000}" name="29" totalsRowFunction="custom" dataDxfId="722" totalsRowDxfId="721">
      <totalsRowFormula>COUNTIF(PresençasEmOutubro[29],"U")+COUNTIF(PresençasEmOutubro[29],"E")</totalsRowFormula>
    </tableColumn>
    <tableColumn id="31" xr3:uid="{00000000-0010-0000-0300-00001F000000}" name="30" totalsRowFunction="custom" totalsRowDxfId="720">
      <totalsRowFormula>COUNTIF(PresençasEmOutubro[30],"U")+COUNTIF(PresençasEmOutubro[30],"E")</totalsRowFormula>
    </tableColumn>
    <tableColumn id="32" xr3:uid="{00000000-0010-0000-0300-000020000000}" name="31" totalsRowFunction="custom" totalsRowDxfId="719">
      <totalsRowFormula>COUNTIF(PresençasEmOutubro[31],"U")+COUNTIF(PresençasEmOutubro[31],"E")</totalsRowFormula>
    </tableColumn>
    <tableColumn id="35" xr3:uid="{00000000-0010-0000-0300-000023000000}" name="T" totalsRowFunction="sum" dataDxfId="718" totalsRowDxfId="717">
      <calculatedColumnFormula>COUNTIF(PresençasEmOutubro[[#This Row],[1]:[31]],Código1)</calculatedColumnFormula>
    </tableColumn>
    <tableColumn id="34" xr3:uid="{00000000-0010-0000-0300-000022000000}" name="E" totalsRowFunction="sum" dataDxfId="716" totalsRowDxfId="715">
      <calculatedColumnFormula>COUNTIF(PresençasEmOutubro[[#This Row],[1]:[31]],Código2)</calculatedColumnFormula>
    </tableColumn>
    <tableColumn id="37" xr3:uid="{00000000-0010-0000-0300-000025000000}" name="U" totalsRowFunction="sum" dataDxfId="714" totalsRowDxfId="713">
      <calculatedColumnFormula>COUNTIF(PresençasEmOutubro[[#This Row],[1]:[31]],Código3)</calculatedColumnFormula>
    </tableColumn>
    <tableColumn id="36" xr3:uid="{00000000-0010-0000-0300-000024000000}" name="P" totalsRowFunction="sum" dataDxfId="712" totalsRowDxfId="711">
      <calculatedColumnFormula>COUNTIF(PresençasEmOutubro[[#This Row],[1]:[31]],Código4)</calculatedColumnFormula>
    </tableColumn>
    <tableColumn id="33" xr3:uid="{00000000-0010-0000-0300-000021000000}" name="Dias de Ausência" totalsRowFunction="sum" totalsRowDxfId="710"/>
  </tableColumns>
  <tableStyleInfo name="Employee Absence Table" showFirstColumn="0" showLastColumn="1" showRowStripes="1" showColumnStripes="1"/>
  <extLst>
    <ext xmlns:x14="http://schemas.microsoft.com/office/spreadsheetml/2009/9/main" uri="{504A1905-F514-4f6f-8877-14C23A59335A}">
      <x14:table altText="Relatório de Presenças de Agosto" altTextSummary="Regista as Presenças dos estudantes, tal como A=Atrasado, J=Justificado, I=Injustificado, P=Presente, N=Não há Escola, para o mês de outubro."/>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PresençasEmNovembro" displayName="PresençasEmNovembro" ref="B6:AM12" totalsRowCount="1" totalsRowDxfId="699">
  <tableColumns count="38">
    <tableColumn id="38" xr3:uid="{00000000-0010-0000-0400-000026000000}" name="ID de Estudante" totalsRowDxfId="698"/>
    <tableColumn id="1" xr3:uid="{00000000-0010-0000-0400-000001000000}" name="Nome do Estudante" totalsRowLabel="Total de dias de ausência" dataDxfId="697" totalsRowDxfId="696"/>
    <tableColumn id="2" xr3:uid="{00000000-0010-0000-0400-000002000000}" name="1" totalsRowFunction="custom" dataDxfId="695" totalsRowDxfId="694">
      <totalsRowFormula>COUNTIF(PresençasEmNovembro[1],"U")+COUNTIF(PresençasEmNovembro[1],"E")</totalsRowFormula>
    </tableColumn>
    <tableColumn id="3" xr3:uid="{00000000-0010-0000-0400-000003000000}" name="2" totalsRowFunction="custom" dataDxfId="693" totalsRowDxfId="692">
      <totalsRowFormula>COUNTIF(PresençasEmNovembro[2],"U")+COUNTIF(PresençasEmNovembro[2],"E")</totalsRowFormula>
    </tableColumn>
    <tableColumn id="4" xr3:uid="{00000000-0010-0000-0400-000004000000}" name="3" totalsRowFunction="custom" dataDxfId="691" totalsRowDxfId="690">
      <totalsRowFormula>COUNTIF(PresençasEmNovembro[3],"U")+COUNTIF(PresençasEmNovembro[3],"E")</totalsRowFormula>
    </tableColumn>
    <tableColumn id="5" xr3:uid="{00000000-0010-0000-0400-000005000000}" name="4" totalsRowFunction="custom" dataDxfId="689" totalsRowDxfId="688">
      <totalsRowFormula>COUNTIF(PresençasEmNovembro[4],"U")+COUNTIF(PresençasEmNovembro[4],"E")</totalsRowFormula>
    </tableColumn>
    <tableColumn id="6" xr3:uid="{00000000-0010-0000-0400-000006000000}" name="5" totalsRowFunction="custom" dataDxfId="687" totalsRowDxfId="686">
      <totalsRowFormula>COUNTIF(PresençasEmNovembro[5],"U")+COUNTIF(PresençasEmNovembro[5],"E")</totalsRowFormula>
    </tableColumn>
    <tableColumn id="7" xr3:uid="{00000000-0010-0000-0400-000007000000}" name="6" totalsRowFunction="custom" dataDxfId="685" totalsRowDxfId="684">
      <totalsRowFormula>COUNTIF(PresençasEmNovembro[6],"U")+COUNTIF(PresençasEmNovembro[6],"E")</totalsRowFormula>
    </tableColumn>
    <tableColumn id="8" xr3:uid="{00000000-0010-0000-0400-000008000000}" name="7" totalsRowFunction="custom" dataDxfId="683" totalsRowDxfId="682">
      <totalsRowFormula>COUNTIF(PresençasEmNovembro[7],"U")+COUNTIF(PresençasEmNovembro[7],"E")</totalsRowFormula>
    </tableColumn>
    <tableColumn id="9" xr3:uid="{00000000-0010-0000-0400-000009000000}" name="8" totalsRowFunction="custom" dataDxfId="681" totalsRowDxfId="680">
      <totalsRowFormula>COUNTIF(PresençasEmNovembro[8],"U")+COUNTIF(PresençasEmNovembro[8],"E")</totalsRowFormula>
    </tableColumn>
    <tableColumn id="10" xr3:uid="{00000000-0010-0000-0400-00000A000000}" name="9" totalsRowFunction="custom" dataDxfId="679" totalsRowDxfId="678">
      <totalsRowFormula>COUNTIF(PresençasEmNovembro[9],"U")+COUNTIF(PresençasEmNovembro[9],"E")</totalsRowFormula>
    </tableColumn>
    <tableColumn id="11" xr3:uid="{00000000-0010-0000-0400-00000B000000}" name="10" totalsRowFunction="custom" dataDxfId="677" totalsRowDxfId="676">
      <totalsRowFormula>COUNTIF(PresençasEmNovembro[10],"U")+COUNTIF(PresençasEmNovembro[10],"E")</totalsRowFormula>
    </tableColumn>
    <tableColumn id="12" xr3:uid="{00000000-0010-0000-0400-00000C000000}" name="11" totalsRowFunction="custom" dataDxfId="675" totalsRowDxfId="674">
      <totalsRowFormula>COUNTIF(PresençasEmNovembro[11],"U")+COUNTIF(PresençasEmNovembro[11],"E")</totalsRowFormula>
    </tableColumn>
    <tableColumn id="13" xr3:uid="{00000000-0010-0000-0400-00000D000000}" name="12" totalsRowFunction="custom" dataDxfId="673" totalsRowDxfId="672">
      <totalsRowFormula>COUNTIF(PresençasEmNovembro[12],"U")+COUNTIF(PresençasEmNovembro[12],"E")</totalsRowFormula>
    </tableColumn>
    <tableColumn id="14" xr3:uid="{00000000-0010-0000-0400-00000E000000}" name="13" totalsRowFunction="custom" dataDxfId="671" totalsRowDxfId="670">
      <totalsRowFormula>COUNTIF(PresençasEmNovembro[13],"U")+COUNTIF(PresençasEmNovembro[13],"E")</totalsRowFormula>
    </tableColumn>
    <tableColumn id="15" xr3:uid="{00000000-0010-0000-0400-00000F000000}" name="14" totalsRowFunction="custom" dataDxfId="669" totalsRowDxfId="668">
      <totalsRowFormula>COUNTIF(PresençasEmNovembro[14],"U")+COUNTIF(PresençasEmNovembro[14],"E")</totalsRowFormula>
    </tableColumn>
    <tableColumn id="16" xr3:uid="{00000000-0010-0000-0400-000010000000}" name="15" totalsRowFunction="custom" dataDxfId="667" totalsRowDxfId="666">
      <totalsRowFormula>COUNTIF(PresençasEmNovembro[15],"U")+COUNTIF(PresençasEmNovembro[15],"E")</totalsRowFormula>
    </tableColumn>
    <tableColumn id="17" xr3:uid="{00000000-0010-0000-0400-000011000000}" name="16" totalsRowFunction="custom" dataDxfId="665" totalsRowDxfId="664">
      <totalsRowFormula>COUNTIF(PresençasEmNovembro[16],"U")+COUNTIF(PresençasEmNovembro[16],"E")</totalsRowFormula>
    </tableColumn>
    <tableColumn id="18" xr3:uid="{00000000-0010-0000-0400-000012000000}" name="17" totalsRowFunction="custom" dataDxfId="663" totalsRowDxfId="662">
      <totalsRowFormula>COUNTIF(PresençasEmNovembro[17],"U")+COUNTIF(PresençasEmNovembro[17],"E")</totalsRowFormula>
    </tableColumn>
    <tableColumn id="19" xr3:uid="{00000000-0010-0000-0400-000013000000}" name="18" totalsRowFunction="custom" dataDxfId="661" totalsRowDxfId="660">
      <totalsRowFormula>COUNTIF(PresençasEmNovembro[18],"U")+COUNTIF(PresençasEmNovembro[18],"E")</totalsRowFormula>
    </tableColumn>
    <tableColumn id="20" xr3:uid="{00000000-0010-0000-0400-000014000000}" name="19" totalsRowFunction="custom" dataDxfId="659" totalsRowDxfId="658">
      <totalsRowFormula>COUNTIF(PresençasEmNovembro[19],"U")+COUNTIF(PresençasEmNovembro[19],"E")</totalsRowFormula>
    </tableColumn>
    <tableColumn id="21" xr3:uid="{00000000-0010-0000-0400-000015000000}" name="20" totalsRowFunction="custom" dataDxfId="657" totalsRowDxfId="656">
      <totalsRowFormula>COUNTIF(PresençasEmNovembro[20],"U")+COUNTIF(PresençasEmNovembro[20],"E")</totalsRowFormula>
    </tableColumn>
    <tableColumn id="22" xr3:uid="{00000000-0010-0000-0400-000016000000}" name="21" totalsRowFunction="custom" dataDxfId="655" totalsRowDxfId="654">
      <totalsRowFormula>COUNTIF(PresençasEmNovembro[21],"U")+COUNTIF(PresençasEmNovembro[21],"E")</totalsRowFormula>
    </tableColumn>
    <tableColumn id="23" xr3:uid="{00000000-0010-0000-0400-000017000000}" name="22" totalsRowFunction="custom" dataDxfId="653" totalsRowDxfId="652">
      <totalsRowFormula>COUNTIF(PresençasEmNovembro[22],"U")+COUNTIF(PresençasEmNovembro[22],"E")</totalsRowFormula>
    </tableColumn>
    <tableColumn id="24" xr3:uid="{00000000-0010-0000-0400-000018000000}" name="23" totalsRowFunction="custom" dataDxfId="651" totalsRowDxfId="650">
      <totalsRowFormula>COUNTIF(PresençasEmNovembro[23],"U")+COUNTIF(PresençasEmNovembro[23],"E")</totalsRowFormula>
    </tableColumn>
    <tableColumn id="25" xr3:uid="{00000000-0010-0000-0400-000019000000}" name="24" totalsRowFunction="custom" dataDxfId="649" totalsRowDxfId="648">
      <totalsRowFormula>COUNTIF(PresençasEmNovembro[24],"U")+COUNTIF(PresençasEmNovembro[24],"E")</totalsRowFormula>
    </tableColumn>
    <tableColumn id="26" xr3:uid="{00000000-0010-0000-0400-00001A000000}" name="25" totalsRowFunction="custom" dataDxfId="647" totalsRowDxfId="646">
      <totalsRowFormula>COUNTIF(PresençasEmNovembro[25],"U")+COUNTIF(PresençasEmNovembro[25],"E")</totalsRowFormula>
    </tableColumn>
    <tableColumn id="27" xr3:uid="{00000000-0010-0000-0400-00001B000000}" name="26" totalsRowFunction="custom" dataDxfId="645" totalsRowDxfId="644">
      <totalsRowFormula>COUNTIF(PresençasEmNovembro[26],"U")+COUNTIF(PresençasEmNovembro[26],"E")</totalsRowFormula>
    </tableColumn>
    <tableColumn id="28" xr3:uid="{00000000-0010-0000-0400-00001C000000}" name="27" totalsRowFunction="custom" dataDxfId="643" totalsRowDxfId="642">
      <totalsRowFormula>COUNTIF(PresençasEmNovembro[27],"U")+COUNTIF(PresençasEmNovembro[27],"E")</totalsRowFormula>
    </tableColumn>
    <tableColumn id="29" xr3:uid="{00000000-0010-0000-0400-00001D000000}" name="28" totalsRowFunction="custom" dataDxfId="641" totalsRowDxfId="640">
      <totalsRowFormula>COUNTIF(PresençasEmNovembro[28],"U")+COUNTIF(PresençasEmNovembro[28],"E")</totalsRowFormula>
    </tableColumn>
    <tableColumn id="30" xr3:uid="{00000000-0010-0000-0400-00001E000000}" name="29" totalsRowFunction="custom" dataDxfId="639" totalsRowDxfId="638">
      <totalsRowFormula>COUNTIF(PresençasEmNovembro[29],"U")+COUNTIF(PresençasEmNovembro[29],"E")</totalsRowFormula>
    </tableColumn>
    <tableColumn id="31" xr3:uid="{00000000-0010-0000-0400-00001F000000}" name="30" totalsRowFunction="custom" totalsRowDxfId="637">
      <totalsRowFormula>COUNTIF(PresençasEmNovembro[30],"U")+COUNTIF(PresençasEmNovembro[30],"E")</totalsRowFormula>
    </tableColumn>
    <tableColumn id="32" xr3:uid="{00000000-0010-0000-0400-000020000000}" name=" " totalsRowFunction="custom" totalsRowDxfId="636">
      <totalsRowFormula>COUNTIF(PresençasEmNovembro[[ ]],"U")+COUNTIF(PresençasEmNovembro[[ ]],"E")</totalsRowFormula>
    </tableColumn>
    <tableColumn id="35" xr3:uid="{00000000-0010-0000-0400-000023000000}" name="T" totalsRowFunction="sum" dataDxfId="635" totalsRowDxfId="634">
      <calculatedColumnFormula>COUNTIF(PresençasEmNovembro[[#This Row],[1]:[ ]],Código1)</calculatedColumnFormula>
    </tableColumn>
    <tableColumn id="34" xr3:uid="{00000000-0010-0000-0400-000022000000}" name="E" totalsRowFunction="sum" dataDxfId="633" totalsRowDxfId="632">
      <calculatedColumnFormula>COUNTIF(PresençasEmNovembro[[#This Row],[1]:[ ]],Código2)</calculatedColumnFormula>
    </tableColumn>
    <tableColumn id="37" xr3:uid="{00000000-0010-0000-0400-000025000000}" name="U" totalsRowFunction="sum" dataDxfId="631" totalsRowDxfId="630">
      <calculatedColumnFormula>COUNTIF(PresençasEmNovembro[[#This Row],[1]:[ ]],Código3)</calculatedColumnFormula>
    </tableColumn>
    <tableColumn id="36" xr3:uid="{00000000-0010-0000-0400-000024000000}" name="P" totalsRowFunction="sum" dataDxfId="629" totalsRowDxfId="628">
      <calculatedColumnFormula>COUNTIF(PresençasEmNovembro[[#This Row],[1]:[ ]],Código4)</calculatedColumnFormula>
    </tableColumn>
    <tableColumn id="33" xr3:uid="{00000000-0010-0000-0400-000021000000}" name="Dias de Ausência" totalsRowFunction="sum" totalsRowDxfId="627"/>
  </tableColumns>
  <tableStyleInfo name="Employee Absence Table" showFirstColumn="0" showLastColumn="1" showRowStripes="1" showColumnStripes="1"/>
  <extLst>
    <ext xmlns:x14="http://schemas.microsoft.com/office/spreadsheetml/2009/9/main" uri="{504A1905-F514-4f6f-8877-14C23A59335A}">
      <x14:table altText="Relatório de Presenças de Agosto" altTextSummary="Regista as Presenças dos estudantes, tal como A=Atrasado, J=Justificado, I=Injustificado, P=Presente, N=Não há Escola, para o mês de novembro."/>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PresençasEmJaneiro" displayName="PresençasEmJaneiro" ref="B6:AM12" totalsRowCount="1" headerRowDxfId="621" totalsRowDxfId="620">
  <tableColumns count="38">
    <tableColumn id="38" xr3:uid="{00000000-0010-0000-0600-000026000000}" name="ID de Estudante" dataDxfId="619" totalsRowDxfId="618"/>
    <tableColumn id="1" xr3:uid="{00000000-0010-0000-0600-000001000000}" name="Nome do Estudante" totalsRowLabel="Total de dias de ausência" dataDxfId="617" totalsRowDxfId="616"/>
    <tableColumn id="2" xr3:uid="{00000000-0010-0000-0600-000002000000}" name="1" totalsRowFunction="custom" dataDxfId="615" totalsRowDxfId="614">
      <totalsRowFormula>COUNTIF(PresençasEmJaneiro[1],"U")+COUNTIF(PresençasEmJaneiro[1],"E")</totalsRowFormula>
    </tableColumn>
    <tableColumn id="3" xr3:uid="{00000000-0010-0000-0600-000003000000}" name="2" totalsRowFunction="custom" dataDxfId="613" totalsRowDxfId="612">
      <totalsRowFormula>COUNTIF(PresençasEmJaneiro[2],"U")+COUNTIF(PresençasEmJaneiro[2],"E")</totalsRowFormula>
    </tableColumn>
    <tableColumn id="4" xr3:uid="{00000000-0010-0000-0600-000004000000}" name="3" totalsRowFunction="custom" dataDxfId="611" totalsRowDxfId="610">
      <totalsRowFormula>COUNTIF(PresençasEmJaneiro[3],"U")+COUNTIF(PresençasEmJaneiro[3],"E")</totalsRowFormula>
    </tableColumn>
    <tableColumn id="5" xr3:uid="{00000000-0010-0000-0600-000005000000}" name="4" totalsRowFunction="custom" dataDxfId="609" totalsRowDxfId="608">
      <totalsRowFormula>COUNTIF(PresençasEmJaneiro[4],"U")+COUNTIF(PresençasEmJaneiro[4],"E")</totalsRowFormula>
    </tableColumn>
    <tableColumn id="6" xr3:uid="{00000000-0010-0000-0600-000006000000}" name="5" totalsRowFunction="custom" dataDxfId="607" totalsRowDxfId="606">
      <totalsRowFormula>COUNTIF(PresençasEmJaneiro[5],"U")+COUNTIF(PresençasEmJaneiro[5],"E")</totalsRowFormula>
    </tableColumn>
    <tableColumn id="7" xr3:uid="{00000000-0010-0000-0600-000007000000}" name="6" totalsRowFunction="custom" dataDxfId="605" totalsRowDxfId="604">
      <totalsRowFormula>COUNTIF(PresençasEmJaneiro[6],"U")+COUNTIF(PresençasEmJaneiro[6],"E")</totalsRowFormula>
    </tableColumn>
    <tableColumn id="8" xr3:uid="{00000000-0010-0000-0600-000008000000}" name="7" totalsRowFunction="custom" dataDxfId="603" totalsRowDxfId="602">
      <totalsRowFormula>COUNTIF(PresençasEmJaneiro[7],"U")+COUNTIF(PresençasEmJaneiro[7],"E")</totalsRowFormula>
    </tableColumn>
    <tableColumn id="9" xr3:uid="{00000000-0010-0000-0600-000009000000}" name="8" totalsRowFunction="custom" dataDxfId="601" totalsRowDxfId="600">
      <totalsRowFormula>COUNTIF(PresençasEmJaneiro[8],"U")+COUNTIF(PresençasEmJaneiro[8],"E")</totalsRowFormula>
    </tableColumn>
    <tableColumn id="10" xr3:uid="{00000000-0010-0000-0600-00000A000000}" name="9" totalsRowFunction="custom" dataDxfId="599" totalsRowDxfId="598">
      <totalsRowFormula>COUNTIF(PresençasEmJaneiro[9],"U")+COUNTIF(PresençasEmJaneiro[9],"E")</totalsRowFormula>
    </tableColumn>
    <tableColumn id="11" xr3:uid="{00000000-0010-0000-0600-00000B000000}" name="10" totalsRowFunction="custom" dataDxfId="597" totalsRowDxfId="596">
      <totalsRowFormula>COUNTIF(PresençasEmJaneiro[10],"U")+COUNTIF(PresençasEmJaneiro[10],"E")</totalsRowFormula>
    </tableColumn>
    <tableColumn id="12" xr3:uid="{00000000-0010-0000-0600-00000C000000}" name="11" totalsRowFunction="custom" dataDxfId="595" totalsRowDxfId="594">
      <totalsRowFormula>COUNTIF(PresençasEmJaneiro[11],"U")+COUNTIF(PresençasEmJaneiro[11],"E")</totalsRowFormula>
    </tableColumn>
    <tableColumn id="13" xr3:uid="{00000000-0010-0000-0600-00000D000000}" name="12" totalsRowFunction="custom" dataDxfId="593" totalsRowDxfId="592">
      <totalsRowFormula>COUNTIF(PresençasEmJaneiro[12],"U")+COUNTIF(PresençasEmJaneiro[12],"E")</totalsRowFormula>
    </tableColumn>
    <tableColumn id="14" xr3:uid="{00000000-0010-0000-0600-00000E000000}" name="13" totalsRowFunction="custom" dataDxfId="591" totalsRowDxfId="590">
      <totalsRowFormula>COUNTIF(PresençasEmJaneiro[13],"U")+COUNTIF(PresençasEmJaneiro[13],"E")</totalsRowFormula>
    </tableColumn>
    <tableColumn id="15" xr3:uid="{00000000-0010-0000-0600-00000F000000}" name="14" totalsRowFunction="custom" dataDxfId="589" totalsRowDxfId="588">
      <totalsRowFormula>COUNTIF(PresençasEmJaneiro[14],"U")+COUNTIF(PresençasEmJaneiro[14],"E")</totalsRowFormula>
    </tableColumn>
    <tableColumn id="16" xr3:uid="{00000000-0010-0000-0600-000010000000}" name="15" totalsRowFunction="custom" dataDxfId="587" totalsRowDxfId="586">
      <totalsRowFormula>COUNTIF(PresençasEmJaneiro[15],"U")+COUNTIF(PresençasEmJaneiro[15],"E")</totalsRowFormula>
    </tableColumn>
    <tableColumn id="17" xr3:uid="{00000000-0010-0000-0600-000011000000}" name="16" totalsRowFunction="custom" dataDxfId="585" totalsRowDxfId="584">
      <totalsRowFormula>COUNTIF(PresençasEmJaneiro[16],"U")+COUNTIF(PresençasEmJaneiro[16],"E")</totalsRowFormula>
    </tableColumn>
    <tableColumn id="18" xr3:uid="{00000000-0010-0000-0600-000012000000}" name="17" totalsRowFunction="custom" dataDxfId="583" totalsRowDxfId="582">
      <totalsRowFormula>COUNTIF(PresençasEmJaneiro[17],"U")+COUNTIF(PresençasEmJaneiro[17],"E")</totalsRowFormula>
    </tableColumn>
    <tableColumn id="19" xr3:uid="{00000000-0010-0000-0600-000013000000}" name="18" totalsRowFunction="custom" dataDxfId="581" totalsRowDxfId="580">
      <totalsRowFormula>COUNTIF(PresençasEmJaneiro[18],"U")+COUNTIF(PresençasEmJaneiro[18],"E")</totalsRowFormula>
    </tableColumn>
    <tableColumn id="20" xr3:uid="{00000000-0010-0000-0600-000014000000}" name="19" totalsRowFunction="custom" dataDxfId="579" totalsRowDxfId="578">
      <totalsRowFormula>COUNTIF(PresençasEmJaneiro[19],"U")+COUNTIF(PresençasEmJaneiro[19],"E")</totalsRowFormula>
    </tableColumn>
    <tableColumn id="21" xr3:uid="{00000000-0010-0000-0600-000015000000}" name="20" totalsRowFunction="custom" dataDxfId="577" totalsRowDxfId="576">
      <totalsRowFormula>COUNTIF(PresençasEmJaneiro[20],"U")+COUNTIF(PresençasEmJaneiro[20],"E")</totalsRowFormula>
    </tableColumn>
    <tableColumn id="22" xr3:uid="{00000000-0010-0000-0600-000016000000}" name="21" totalsRowFunction="custom" dataDxfId="575" totalsRowDxfId="574">
      <totalsRowFormula>COUNTIF(PresençasEmJaneiro[21],"U")+COUNTIF(PresençasEmJaneiro[21],"E")</totalsRowFormula>
    </tableColumn>
    <tableColumn id="23" xr3:uid="{00000000-0010-0000-0600-000017000000}" name="22" totalsRowFunction="custom" dataDxfId="573" totalsRowDxfId="572">
      <totalsRowFormula>COUNTIF(PresençasEmJaneiro[22],"U")+COUNTIF(PresençasEmJaneiro[22],"E")</totalsRowFormula>
    </tableColumn>
    <tableColumn id="24" xr3:uid="{00000000-0010-0000-0600-000018000000}" name="23" totalsRowFunction="custom" dataDxfId="571" totalsRowDxfId="570">
      <totalsRowFormula>COUNTIF(PresençasEmJaneiro[23],"U")+COUNTIF(PresençasEmJaneiro[23],"E")</totalsRowFormula>
    </tableColumn>
    <tableColumn id="25" xr3:uid="{00000000-0010-0000-0600-000019000000}" name="24" totalsRowFunction="custom" dataDxfId="569" totalsRowDxfId="568">
      <totalsRowFormula>COUNTIF(PresençasEmJaneiro[24],"U")+COUNTIF(PresençasEmJaneiro[24],"E")</totalsRowFormula>
    </tableColumn>
    <tableColumn id="26" xr3:uid="{00000000-0010-0000-0600-00001A000000}" name="25" totalsRowFunction="custom" dataDxfId="567" totalsRowDxfId="566">
      <totalsRowFormula>COUNTIF(PresençasEmJaneiro[25],"U")+COUNTIF(PresençasEmJaneiro[25],"E")</totalsRowFormula>
    </tableColumn>
    <tableColumn id="27" xr3:uid="{00000000-0010-0000-0600-00001B000000}" name="26" totalsRowFunction="custom" dataDxfId="565" totalsRowDxfId="564">
      <totalsRowFormula>COUNTIF(PresençasEmJaneiro[26],"U")+COUNTIF(PresençasEmJaneiro[26],"E")</totalsRowFormula>
    </tableColumn>
    <tableColumn id="28" xr3:uid="{00000000-0010-0000-0600-00001C000000}" name="27" totalsRowFunction="custom" dataDxfId="563" totalsRowDxfId="562">
      <totalsRowFormula>COUNTIF(PresençasEmJaneiro[27],"U")+COUNTIF(PresençasEmJaneiro[27],"E")</totalsRowFormula>
    </tableColumn>
    <tableColumn id="29" xr3:uid="{00000000-0010-0000-0600-00001D000000}" name="28" totalsRowFunction="custom" dataDxfId="561" totalsRowDxfId="560">
      <totalsRowFormula>COUNTIF(PresençasEmJaneiro[28],"U")+COUNTIF(PresençasEmJaneiro[28],"E")</totalsRowFormula>
    </tableColumn>
    <tableColumn id="30" xr3:uid="{00000000-0010-0000-0600-00001E000000}" name="29" totalsRowFunction="custom" dataDxfId="559" totalsRowDxfId="558">
      <totalsRowFormula>COUNTIF(PresençasEmJaneiro[29],"U")+COUNTIF(PresençasEmJaneiro[29],"E")</totalsRowFormula>
    </tableColumn>
    <tableColumn id="31" xr3:uid="{00000000-0010-0000-0600-00001F000000}" name="30" dataDxfId="557" totalsRowDxfId="556"/>
    <tableColumn id="32" xr3:uid="{00000000-0010-0000-0600-000020000000}" name="31" dataDxfId="555" totalsRowDxfId="554"/>
    <tableColumn id="35" xr3:uid="{00000000-0010-0000-0600-000023000000}" name="T" totalsRowFunction="sum" dataDxfId="553" totalsRowDxfId="552">
      <calculatedColumnFormula>COUNTIF(PresençasEmJaneiro[[#This Row],[1]:[31]],Código1)</calculatedColumnFormula>
    </tableColumn>
    <tableColumn id="34" xr3:uid="{00000000-0010-0000-0600-000022000000}" name="E" totalsRowFunction="sum" dataDxfId="551" totalsRowDxfId="550">
      <calculatedColumnFormula>COUNTIF(PresençasEmJaneiro[[#This Row],[1]:[31]],Código2)</calculatedColumnFormula>
    </tableColumn>
    <tableColumn id="37" xr3:uid="{00000000-0010-0000-0600-000025000000}" name="U" totalsRowFunction="sum" dataDxfId="549" totalsRowDxfId="548">
      <calculatedColumnFormula>COUNTIF(PresençasEmJaneiro[[#This Row],[1]:[31]],Código3)</calculatedColumnFormula>
    </tableColumn>
    <tableColumn id="36" xr3:uid="{00000000-0010-0000-0600-000024000000}" name="P" totalsRowFunction="sum" dataDxfId="547" totalsRowDxfId="546">
      <calculatedColumnFormula>COUNTIF(PresençasEmJaneiro[[#This Row],[1]:[31]],Código4)</calculatedColumnFormula>
    </tableColumn>
    <tableColumn id="33" xr3:uid="{00000000-0010-0000-0600-000021000000}" name="Dias de Ausência" totalsRowFunction="sum" dataDxfId="545" totalsRowDxfId="544"/>
  </tableColumns>
  <tableStyleInfo name="Employee Absence Table" showFirstColumn="0" showLastColumn="0" showRowStripes="1" showColumnStripes="1"/>
  <extLst>
    <ext xmlns:x14="http://schemas.microsoft.com/office/spreadsheetml/2009/9/main" uri="{504A1905-F514-4f6f-8877-14C23A59335A}">
      <x14:table altText="Relatório de Presenças de Fevereiro" altTextSummary="Regista as Presenças dos estudantes, tal como A=Atrasado, J=Justificado, I=Injustificado, P=Presente, N=Não há Escola, para o mês de janeiro."/>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7000000}" name="PresençasEmFevereiro" displayName="PresençasEmFevereiro" ref="B6:AM12" totalsRowCount="1" headerRowDxfId="536" totalsRowDxfId="535">
  <tableColumns count="38">
    <tableColumn id="38" xr3:uid="{00000000-0010-0000-0700-000026000000}" name="ID de Estudante" dataDxfId="534" totalsRowDxfId="533"/>
    <tableColumn id="1" xr3:uid="{00000000-0010-0000-0700-000001000000}" name="Nome do Estudante" totalsRowLabel="Total de dias de ausência" dataDxfId="532" totalsRowDxfId="531"/>
    <tableColumn id="2" xr3:uid="{00000000-0010-0000-0700-000002000000}" name="1" totalsRowFunction="custom" dataDxfId="530" totalsRowDxfId="529">
      <totalsRowFormula>COUNTIF(PresençasEmFevereiro[1],"U")+COUNTIF(PresençasEmFevereiro[1],"E")</totalsRowFormula>
    </tableColumn>
    <tableColumn id="3" xr3:uid="{00000000-0010-0000-0700-000003000000}" name="2" totalsRowFunction="custom" dataDxfId="528" totalsRowDxfId="527">
      <totalsRowFormula>COUNTIF(PresençasEmFevereiro[2],"U")+COUNTIF(PresençasEmFevereiro[2],"E")</totalsRowFormula>
    </tableColumn>
    <tableColumn id="4" xr3:uid="{00000000-0010-0000-0700-000004000000}" name="3" totalsRowFunction="custom" dataDxfId="526" totalsRowDxfId="525">
      <totalsRowFormula>COUNTIF(PresençasEmFevereiro[3],"U")+COUNTIF(PresençasEmFevereiro[3],"E")</totalsRowFormula>
    </tableColumn>
    <tableColumn id="5" xr3:uid="{00000000-0010-0000-0700-000005000000}" name="4" totalsRowFunction="custom" dataDxfId="524" totalsRowDxfId="523">
      <totalsRowFormula>COUNTIF(PresençasEmFevereiro[4],"U")+COUNTIF(PresençasEmFevereiro[4],"E")</totalsRowFormula>
    </tableColumn>
    <tableColumn id="6" xr3:uid="{00000000-0010-0000-0700-000006000000}" name="5" totalsRowFunction="custom" dataDxfId="522" totalsRowDxfId="521">
      <totalsRowFormula>COUNTIF(PresençasEmFevereiro[5],"U")+COUNTIF(PresençasEmFevereiro[5],"E")</totalsRowFormula>
    </tableColumn>
    <tableColumn id="7" xr3:uid="{00000000-0010-0000-0700-000007000000}" name="6" totalsRowFunction="custom" dataDxfId="520" totalsRowDxfId="519">
      <totalsRowFormula>COUNTIF(PresençasEmFevereiro[6],"U")+COUNTIF(PresençasEmFevereiro[6],"E")</totalsRowFormula>
    </tableColumn>
    <tableColumn id="8" xr3:uid="{00000000-0010-0000-0700-000008000000}" name="7" totalsRowFunction="custom" dataDxfId="518" totalsRowDxfId="517">
      <totalsRowFormula>COUNTIF(PresençasEmFevereiro[7],"U")+COUNTIF(PresençasEmFevereiro[7],"E")</totalsRowFormula>
    </tableColumn>
    <tableColumn id="9" xr3:uid="{00000000-0010-0000-0700-000009000000}" name="8" totalsRowFunction="custom" dataDxfId="516" totalsRowDxfId="515">
      <totalsRowFormula>COUNTIF(PresençasEmFevereiro[8],"U")+COUNTIF(PresençasEmFevereiro[8],"E")</totalsRowFormula>
    </tableColumn>
    <tableColumn id="10" xr3:uid="{00000000-0010-0000-0700-00000A000000}" name="9" totalsRowFunction="custom" dataDxfId="514" totalsRowDxfId="513">
      <totalsRowFormula>COUNTIF(PresençasEmFevereiro[9],"U")+COUNTIF(PresençasEmFevereiro[9],"E")</totalsRowFormula>
    </tableColumn>
    <tableColumn id="11" xr3:uid="{00000000-0010-0000-0700-00000B000000}" name="10" totalsRowFunction="custom" dataDxfId="512" totalsRowDxfId="511">
      <totalsRowFormula>COUNTIF(PresençasEmFevereiro[10],"U")+COUNTIF(PresençasEmFevereiro[10],"E")</totalsRowFormula>
    </tableColumn>
    <tableColumn id="12" xr3:uid="{00000000-0010-0000-0700-00000C000000}" name="11" totalsRowFunction="custom" dataDxfId="510" totalsRowDxfId="509">
      <totalsRowFormula>COUNTIF(PresençasEmFevereiro[11],"U")+COUNTIF(PresençasEmFevereiro[11],"E")</totalsRowFormula>
    </tableColumn>
    <tableColumn id="13" xr3:uid="{00000000-0010-0000-0700-00000D000000}" name="12" totalsRowFunction="custom" dataDxfId="508" totalsRowDxfId="507">
      <totalsRowFormula>COUNTIF(PresençasEmFevereiro[12],"U")+COUNTIF(PresençasEmFevereiro[12],"E")</totalsRowFormula>
    </tableColumn>
    <tableColumn id="14" xr3:uid="{00000000-0010-0000-0700-00000E000000}" name="13" totalsRowFunction="custom" dataDxfId="506" totalsRowDxfId="505">
      <totalsRowFormula>COUNTIF(PresençasEmFevereiro[13],"U")+COUNTIF(PresençasEmFevereiro[13],"E")</totalsRowFormula>
    </tableColumn>
    <tableColumn id="15" xr3:uid="{00000000-0010-0000-0700-00000F000000}" name="14" totalsRowFunction="custom" dataDxfId="504" totalsRowDxfId="503">
      <totalsRowFormula>COUNTIF(PresençasEmFevereiro[14],"U")+COUNTIF(PresençasEmFevereiro[14],"E")</totalsRowFormula>
    </tableColumn>
    <tableColumn id="16" xr3:uid="{00000000-0010-0000-0700-000010000000}" name="15" totalsRowFunction="custom" dataDxfId="502" totalsRowDxfId="501">
      <totalsRowFormula>COUNTIF(PresençasEmFevereiro[15],"U")+COUNTIF(PresençasEmFevereiro[15],"E")</totalsRowFormula>
    </tableColumn>
    <tableColumn id="17" xr3:uid="{00000000-0010-0000-0700-000011000000}" name="16" totalsRowFunction="custom" dataDxfId="500" totalsRowDxfId="499">
      <totalsRowFormula>COUNTIF(PresençasEmFevereiro[16],"U")+COUNTIF(PresençasEmFevereiro[16],"E")</totalsRowFormula>
    </tableColumn>
    <tableColumn id="18" xr3:uid="{00000000-0010-0000-0700-000012000000}" name="17" totalsRowFunction="custom" dataDxfId="498" totalsRowDxfId="497">
      <totalsRowFormula>COUNTIF(PresençasEmFevereiro[17],"U")+COUNTIF(PresençasEmFevereiro[17],"E")</totalsRowFormula>
    </tableColumn>
    <tableColumn id="19" xr3:uid="{00000000-0010-0000-0700-000013000000}" name="18" totalsRowFunction="custom" dataDxfId="496" totalsRowDxfId="495">
      <totalsRowFormula>COUNTIF(PresençasEmFevereiro[18],"U")+COUNTIF(PresençasEmFevereiro[18],"E")</totalsRowFormula>
    </tableColumn>
    <tableColumn id="20" xr3:uid="{00000000-0010-0000-0700-000014000000}" name="19" totalsRowFunction="custom" dataDxfId="494" totalsRowDxfId="493">
      <totalsRowFormula>COUNTIF(PresençasEmFevereiro[19],"U")+COUNTIF(PresençasEmFevereiro[19],"E")</totalsRowFormula>
    </tableColumn>
    <tableColumn id="21" xr3:uid="{00000000-0010-0000-0700-000015000000}" name="20" totalsRowFunction="custom" dataDxfId="492" totalsRowDxfId="491">
      <totalsRowFormula>COUNTIF(PresençasEmFevereiro[20],"U")+COUNTIF(PresençasEmFevereiro[20],"E")</totalsRowFormula>
    </tableColumn>
    <tableColumn id="22" xr3:uid="{00000000-0010-0000-0700-000016000000}" name="21" totalsRowFunction="custom" dataDxfId="490" totalsRowDxfId="489">
      <totalsRowFormula>COUNTIF(PresençasEmFevereiro[21],"U")+COUNTIF(PresençasEmFevereiro[21],"E")</totalsRowFormula>
    </tableColumn>
    <tableColumn id="23" xr3:uid="{00000000-0010-0000-0700-000017000000}" name="22" totalsRowFunction="custom" dataDxfId="488" totalsRowDxfId="487">
      <totalsRowFormula>COUNTIF(PresençasEmFevereiro[22],"U")+COUNTIF(PresençasEmFevereiro[22],"E")</totalsRowFormula>
    </tableColumn>
    <tableColumn id="24" xr3:uid="{00000000-0010-0000-0700-000018000000}" name="23" totalsRowFunction="custom" dataDxfId="486" totalsRowDxfId="485">
      <totalsRowFormula>COUNTIF(PresençasEmFevereiro[23],"U")+COUNTIF(PresençasEmFevereiro[23],"E")</totalsRowFormula>
    </tableColumn>
    <tableColumn id="25" xr3:uid="{00000000-0010-0000-0700-000019000000}" name="24" totalsRowFunction="custom" dataDxfId="484" totalsRowDxfId="483">
      <totalsRowFormula>COUNTIF(PresençasEmFevereiro[24],"U")+COUNTIF(PresençasEmFevereiro[24],"E")</totalsRowFormula>
    </tableColumn>
    <tableColumn id="26" xr3:uid="{00000000-0010-0000-0700-00001A000000}" name="25" totalsRowFunction="custom" dataDxfId="482" totalsRowDxfId="481">
      <totalsRowFormula>COUNTIF(PresençasEmFevereiro[25],"U")+COUNTIF(PresençasEmFevereiro[25],"E")</totalsRowFormula>
    </tableColumn>
    <tableColumn id="27" xr3:uid="{00000000-0010-0000-0700-00001B000000}" name="26" totalsRowFunction="custom" dataDxfId="480" totalsRowDxfId="479">
      <totalsRowFormula>COUNTIF(PresençasEmFevereiro[26],"U")+COUNTIF(PresençasEmFevereiro[26],"E")</totalsRowFormula>
    </tableColumn>
    <tableColumn id="28" xr3:uid="{00000000-0010-0000-0700-00001C000000}" name="27" totalsRowFunction="custom" dataDxfId="478" totalsRowDxfId="477">
      <totalsRowFormula>COUNTIF(PresençasEmFevereiro[27],"U")+COUNTIF(PresençasEmFevereiro[27],"E")</totalsRowFormula>
    </tableColumn>
    <tableColumn id="29" xr3:uid="{00000000-0010-0000-0700-00001D000000}" name="28" totalsRowFunction="custom" dataDxfId="476" totalsRowDxfId="475">
      <totalsRowFormula>COUNTIF(PresençasEmFevereiro[28],"U")+COUNTIF(PresençasEmFevereiro[28],"E")</totalsRowFormula>
    </tableColumn>
    <tableColumn id="30" xr3:uid="{00000000-0010-0000-0700-00001E000000}" name="29" totalsRowFunction="custom" dataDxfId="474" totalsRowDxfId="473">
      <totalsRowFormula>COUNTIF(PresençasEmFevereiro[29],"U")+COUNTIF(PresençasEmFevereiro[29],"E")</totalsRowFormula>
    </tableColumn>
    <tableColumn id="31" xr3:uid="{00000000-0010-0000-0700-00001F000000}" name="30" dataDxfId="472" totalsRowDxfId="471"/>
    <tableColumn id="32" xr3:uid="{00000000-0010-0000-0700-000020000000}" name="31" dataDxfId="470" totalsRowDxfId="469"/>
    <tableColumn id="35" xr3:uid="{00000000-0010-0000-0700-000023000000}" name="T" totalsRowFunction="sum" dataDxfId="468" totalsRowDxfId="467">
      <calculatedColumnFormula>COUNTIF(PresençasEmFevereiro[[#This Row],[1]:[31]],Código1)</calculatedColumnFormula>
    </tableColumn>
    <tableColumn id="34" xr3:uid="{00000000-0010-0000-0700-000022000000}" name="E" totalsRowFunction="sum" dataDxfId="466" totalsRowDxfId="465">
      <calculatedColumnFormula>COUNTIF(PresençasEmFevereiro[[#This Row],[1]:[31]],Código2)</calculatedColumnFormula>
    </tableColumn>
    <tableColumn id="37" xr3:uid="{00000000-0010-0000-0700-000025000000}" name="U" totalsRowFunction="sum" dataDxfId="464" totalsRowDxfId="463">
      <calculatedColumnFormula>COUNTIF(PresençasEmFevereiro[[#This Row],[1]:[31]],Código3)</calculatedColumnFormula>
    </tableColumn>
    <tableColumn id="36" xr3:uid="{00000000-0010-0000-0700-000024000000}" name="P" totalsRowFunction="sum" dataDxfId="462" totalsRowDxfId="461">
      <calculatedColumnFormula>COUNTIF(PresençasEmFevereiro[[#This Row],[1]:[31]],Código4)</calculatedColumnFormula>
    </tableColumn>
    <tableColumn id="33" xr3:uid="{00000000-0010-0000-0700-000021000000}" name="Dias de Ausência" totalsRowFunction="sum" dataDxfId="460" totalsRowDxfId="459"/>
  </tableColumns>
  <tableStyleInfo name="Employee Absence Table" showFirstColumn="0" showLastColumn="0" showRowStripes="1" showColumnStripes="1"/>
  <extLst>
    <ext xmlns:x14="http://schemas.microsoft.com/office/spreadsheetml/2009/9/main" uri="{504A1905-F514-4f6f-8877-14C23A59335A}">
      <x14:table altText="Relatório de Presenças de Fevereiro" altTextSummary="Regista as Presenças dos estudantes, tal como A=Atrasado, J=Justificado, I=Injustificado, P=Presente, N=Não há Escola, para o mês de fevereiro."/>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8000000}" name="PresençasEmMarço" displayName="PresençasEmMarço" ref="B6:AM12" totalsRowCount="1" headerRowDxfId="453" totalsRowDxfId="452">
  <tableColumns count="38">
    <tableColumn id="38" xr3:uid="{00000000-0010-0000-0800-000026000000}" name="ID de Estudante" dataDxfId="451" totalsRowDxfId="450"/>
    <tableColumn id="1" xr3:uid="{00000000-0010-0000-0800-000001000000}" name="Nome do Estudante" totalsRowLabel="Total de dias de ausência" dataDxfId="449" totalsRowDxfId="448"/>
    <tableColumn id="2" xr3:uid="{00000000-0010-0000-0800-000002000000}" name="1" totalsRowFunction="custom" dataDxfId="447" totalsRowDxfId="446">
      <totalsRowFormula>COUNTIF(PresençasEmMarço[1],"U")+COUNTIF(PresençasEmMarço[1],"E")</totalsRowFormula>
    </tableColumn>
    <tableColumn id="3" xr3:uid="{00000000-0010-0000-0800-000003000000}" name="2" totalsRowFunction="custom" dataDxfId="445" totalsRowDxfId="444">
      <totalsRowFormula>COUNTIF(PresençasEmMarço[2],"U")+COUNTIF(PresençasEmMarço[2],"E")</totalsRowFormula>
    </tableColumn>
    <tableColumn id="4" xr3:uid="{00000000-0010-0000-0800-000004000000}" name="3" totalsRowFunction="custom" dataDxfId="443" totalsRowDxfId="442">
      <totalsRowFormula>COUNTIF(PresençasEmMarço[3],"U")+COUNTIF(PresençasEmMarço[3],"E")</totalsRowFormula>
    </tableColumn>
    <tableColumn id="5" xr3:uid="{00000000-0010-0000-0800-000005000000}" name="4" totalsRowFunction="custom" dataDxfId="441" totalsRowDxfId="440">
      <totalsRowFormula>COUNTIF(PresençasEmMarço[4],"U")+COUNTIF(PresençasEmMarço[4],"E")</totalsRowFormula>
    </tableColumn>
    <tableColumn id="6" xr3:uid="{00000000-0010-0000-0800-000006000000}" name="5" totalsRowFunction="custom" dataDxfId="439" totalsRowDxfId="438">
      <totalsRowFormula>COUNTIF(PresençasEmMarço[5],"U")+COUNTIF(PresençasEmMarço[5],"E")</totalsRowFormula>
    </tableColumn>
    <tableColumn id="7" xr3:uid="{00000000-0010-0000-0800-000007000000}" name="6" totalsRowFunction="custom" dataDxfId="437" totalsRowDxfId="436">
      <totalsRowFormula>COUNTIF(PresençasEmMarço[6],"U")+COUNTIF(PresençasEmMarço[6],"E")</totalsRowFormula>
    </tableColumn>
    <tableColumn id="8" xr3:uid="{00000000-0010-0000-0800-000008000000}" name="7" totalsRowFunction="custom" dataDxfId="435" totalsRowDxfId="434">
      <totalsRowFormula>COUNTIF(PresençasEmMarço[7],"U")+COUNTIF(PresençasEmMarço[7],"E")</totalsRowFormula>
    </tableColumn>
    <tableColumn id="9" xr3:uid="{00000000-0010-0000-0800-000009000000}" name="8" totalsRowFunction="custom" dataDxfId="433" totalsRowDxfId="432">
      <totalsRowFormula>COUNTIF(PresençasEmMarço[8],"U")+COUNTIF(PresençasEmMarço[8],"E")</totalsRowFormula>
    </tableColumn>
    <tableColumn id="10" xr3:uid="{00000000-0010-0000-0800-00000A000000}" name="9" totalsRowFunction="custom" dataDxfId="431" totalsRowDxfId="430">
      <totalsRowFormula>COUNTIF(PresençasEmMarço[9],"U")+COUNTIF(PresençasEmMarço[9],"E")</totalsRowFormula>
    </tableColumn>
    <tableColumn id="11" xr3:uid="{00000000-0010-0000-0800-00000B000000}" name="10" totalsRowFunction="custom" dataDxfId="429" totalsRowDxfId="428">
      <totalsRowFormula>COUNTIF(PresençasEmMarço[10],"U")+COUNTIF(PresençasEmMarço[10],"E")</totalsRowFormula>
    </tableColumn>
    <tableColumn id="12" xr3:uid="{00000000-0010-0000-0800-00000C000000}" name="11" totalsRowFunction="custom" dataDxfId="427" totalsRowDxfId="426">
      <totalsRowFormula>COUNTIF(PresençasEmMarço[11],"U")+COUNTIF(PresençasEmMarço[11],"E")</totalsRowFormula>
    </tableColumn>
    <tableColumn id="13" xr3:uid="{00000000-0010-0000-0800-00000D000000}" name="12" totalsRowFunction="custom" dataDxfId="425" totalsRowDxfId="424">
      <totalsRowFormula>COUNTIF(PresençasEmMarço[12],"U")+COUNTIF(PresençasEmMarço[12],"E")</totalsRowFormula>
    </tableColumn>
    <tableColumn id="14" xr3:uid="{00000000-0010-0000-0800-00000E000000}" name="13" totalsRowFunction="custom" dataDxfId="423" totalsRowDxfId="422">
      <totalsRowFormula>COUNTIF(PresençasEmMarço[13],"U")+COUNTIF(PresençasEmMarço[13],"E")</totalsRowFormula>
    </tableColumn>
    <tableColumn id="15" xr3:uid="{00000000-0010-0000-0800-00000F000000}" name="14" totalsRowFunction="custom" dataDxfId="421" totalsRowDxfId="420">
      <totalsRowFormula>COUNTIF(PresençasEmMarço[14],"U")+COUNTIF(PresençasEmMarço[14],"E")</totalsRowFormula>
    </tableColumn>
    <tableColumn id="16" xr3:uid="{00000000-0010-0000-0800-000010000000}" name="15" totalsRowFunction="custom" dataDxfId="419" totalsRowDxfId="418">
      <totalsRowFormula>COUNTIF(PresençasEmMarço[15],"U")+COUNTIF(PresençasEmMarço[15],"E")</totalsRowFormula>
    </tableColumn>
    <tableColumn id="17" xr3:uid="{00000000-0010-0000-0800-000011000000}" name="16" totalsRowFunction="custom" dataDxfId="417" totalsRowDxfId="416">
      <totalsRowFormula>COUNTIF(PresençasEmMarço[16],"U")+COUNTIF(PresençasEmMarço[16],"E")</totalsRowFormula>
    </tableColumn>
    <tableColumn id="18" xr3:uid="{00000000-0010-0000-0800-000012000000}" name="17" totalsRowFunction="custom" dataDxfId="415" totalsRowDxfId="414">
      <totalsRowFormula>COUNTIF(PresençasEmMarço[17],"U")+COUNTIF(PresençasEmMarço[17],"E")</totalsRowFormula>
    </tableColumn>
    <tableColumn id="19" xr3:uid="{00000000-0010-0000-0800-000013000000}" name="18" totalsRowFunction="custom" dataDxfId="413" totalsRowDxfId="412">
      <totalsRowFormula>COUNTIF(PresençasEmMarço[18],"U")+COUNTIF(PresençasEmMarço[18],"E")</totalsRowFormula>
    </tableColumn>
    <tableColumn id="20" xr3:uid="{00000000-0010-0000-0800-000014000000}" name="19" totalsRowFunction="custom" dataDxfId="411" totalsRowDxfId="410">
      <totalsRowFormula>COUNTIF(PresençasEmMarço[19],"U")+COUNTIF(PresençasEmMarço[19],"E")</totalsRowFormula>
    </tableColumn>
    <tableColumn id="21" xr3:uid="{00000000-0010-0000-0800-000015000000}" name="20" totalsRowFunction="custom" dataDxfId="409" totalsRowDxfId="408">
      <totalsRowFormula>COUNTIF(PresençasEmMarço[20],"U")+COUNTIF(PresençasEmMarço[20],"E")</totalsRowFormula>
    </tableColumn>
    <tableColumn id="22" xr3:uid="{00000000-0010-0000-0800-000016000000}" name="21" totalsRowFunction="custom" dataDxfId="407" totalsRowDxfId="406">
      <totalsRowFormula>COUNTIF(PresençasEmMarço[21],"U")+COUNTIF(PresençasEmMarço[21],"E")</totalsRowFormula>
    </tableColumn>
    <tableColumn id="23" xr3:uid="{00000000-0010-0000-0800-000017000000}" name="22" totalsRowFunction="custom" dataDxfId="405" totalsRowDxfId="404">
      <totalsRowFormula>COUNTIF(PresençasEmMarço[22],"U")+COUNTIF(PresençasEmMarço[22],"E")</totalsRowFormula>
    </tableColumn>
    <tableColumn id="24" xr3:uid="{00000000-0010-0000-0800-000018000000}" name="23" totalsRowFunction="custom" dataDxfId="403" totalsRowDxfId="402">
      <totalsRowFormula>COUNTIF(PresençasEmMarço[23],"U")+COUNTIF(PresençasEmMarço[23],"E")</totalsRowFormula>
    </tableColumn>
    <tableColumn id="25" xr3:uid="{00000000-0010-0000-0800-000019000000}" name="24" totalsRowFunction="custom" dataDxfId="401" totalsRowDxfId="400">
      <totalsRowFormula>COUNTIF(PresençasEmMarço[24],"U")+COUNTIF(PresençasEmMarço[24],"E")</totalsRowFormula>
    </tableColumn>
    <tableColumn id="26" xr3:uid="{00000000-0010-0000-0800-00001A000000}" name="25" totalsRowFunction="custom" dataDxfId="399" totalsRowDxfId="398">
      <totalsRowFormula>COUNTIF(PresençasEmMarço[25],"U")+COUNTIF(PresençasEmMarço[25],"E")</totalsRowFormula>
    </tableColumn>
    <tableColumn id="27" xr3:uid="{00000000-0010-0000-0800-00001B000000}" name="26" totalsRowFunction="custom" dataDxfId="397" totalsRowDxfId="396">
      <totalsRowFormula>COUNTIF(PresençasEmMarço[26],"U")+COUNTIF(PresençasEmMarço[26],"E")</totalsRowFormula>
    </tableColumn>
    <tableColumn id="28" xr3:uid="{00000000-0010-0000-0800-00001C000000}" name="27" totalsRowFunction="custom" dataDxfId="395" totalsRowDxfId="394">
      <totalsRowFormula>COUNTIF(PresençasEmMarço[27],"U")+COUNTIF(PresençasEmMarço[27],"E")</totalsRowFormula>
    </tableColumn>
    <tableColumn id="29" xr3:uid="{00000000-0010-0000-0800-00001D000000}" name="28" totalsRowFunction="custom" dataDxfId="393" totalsRowDxfId="392">
      <totalsRowFormula>COUNTIF(PresençasEmMarço[28],"U")+COUNTIF(PresençasEmMarço[28],"E")</totalsRowFormula>
    </tableColumn>
    <tableColumn id="30" xr3:uid="{00000000-0010-0000-0800-00001E000000}" name="29" totalsRowFunction="custom" dataDxfId="391" totalsRowDxfId="390">
      <totalsRowFormula>COUNTIF(PresençasEmMarço[29],"U")+COUNTIF(PresençasEmMarço[29],"E")</totalsRowFormula>
    </tableColumn>
    <tableColumn id="31" xr3:uid="{00000000-0010-0000-0800-00001F000000}" name="30" dataDxfId="389" totalsRowDxfId="388"/>
    <tableColumn id="32" xr3:uid="{00000000-0010-0000-0800-000020000000}" name="31" dataDxfId="387" totalsRowDxfId="386"/>
    <tableColumn id="35" xr3:uid="{00000000-0010-0000-0800-000023000000}" name="T" totalsRowFunction="sum" dataDxfId="385" totalsRowDxfId="384">
      <calculatedColumnFormula>COUNTIF(PresençasEmMarço[[#This Row],[1]:[31]],Código1)</calculatedColumnFormula>
    </tableColumn>
    <tableColumn id="34" xr3:uid="{00000000-0010-0000-0800-000022000000}" name="E" totalsRowFunction="sum" dataDxfId="383" totalsRowDxfId="382">
      <calculatedColumnFormula>COUNTIF(PresençasEmMarço[[#This Row],[1]:[31]],Código2)</calculatedColumnFormula>
    </tableColumn>
    <tableColumn id="37" xr3:uid="{00000000-0010-0000-0800-000025000000}" name="U" totalsRowFunction="sum" dataDxfId="381" totalsRowDxfId="380">
      <calculatedColumnFormula>COUNTIF(PresençasEmMarço[[#This Row],[1]:[31]],Código3)</calculatedColumnFormula>
    </tableColumn>
    <tableColumn id="36" xr3:uid="{00000000-0010-0000-0800-000024000000}" name="P" totalsRowFunction="sum" dataDxfId="379" totalsRowDxfId="378">
      <calculatedColumnFormula>COUNTIF(PresençasEmMarço[[#This Row],[1]:[31]],Código4)</calculatedColumnFormula>
    </tableColumn>
    <tableColumn id="33" xr3:uid="{00000000-0010-0000-0800-000021000000}" name="Dias de Ausência" totalsRowFunction="sum" dataDxfId="377" totalsRowDxfId="376"/>
  </tableColumns>
  <tableStyleInfo name="Employee Absence Table" showFirstColumn="0" showLastColumn="0" showRowStripes="1" showColumnStripes="1"/>
  <extLst>
    <ext xmlns:x14="http://schemas.microsoft.com/office/spreadsheetml/2009/9/main" uri="{504A1905-F514-4f6f-8877-14C23A59335A}">
      <x14:table altText="Relatório de Presenças de Fevereiro" altTextSummary="Regista as Presenças dos estudantes, tal como A=Atrasado, J=Justificado, I=Injustificado, P=Presente, N=Não há Escola, para o mês de março."/>
    </ext>
  </extLst>
</table>
</file>

<file path=xl/theme/theme1.xml><?xml version="1.0" encoding="utf-8"?>
<a:theme xmlns:a="http://schemas.openxmlformats.org/drawingml/2006/main" name="Office Theme">
  <a:themeElements>
    <a:clrScheme name="Student Attendance Record">
      <a:dk1>
        <a:sysClr val="windowText" lastClr="000000"/>
      </a:dk1>
      <a:lt1>
        <a:sysClr val="window" lastClr="FFFFFF"/>
      </a:lt1>
      <a:dk2>
        <a:srgbClr val="645050"/>
      </a:dk2>
      <a:lt2>
        <a:srgbClr val="FAF0DC"/>
      </a:lt2>
      <a:accent1>
        <a:srgbClr val="4BACC6"/>
      </a:accent1>
      <a:accent2>
        <a:srgbClr val="FFD264"/>
      </a:accent2>
      <a:accent3>
        <a:srgbClr val="FF9354"/>
      </a:accent3>
      <a:accent4>
        <a:srgbClr val="B4D23C"/>
      </a:accent4>
      <a:accent5>
        <a:srgbClr val="AE701E"/>
      </a:accent5>
      <a:accent6>
        <a:srgbClr val="003CC9"/>
      </a:accent6>
      <a:hlink>
        <a:srgbClr val="457CFF"/>
      </a:hlink>
      <a:folHlink>
        <a:srgbClr val="EDC796"/>
      </a:folHlink>
    </a:clrScheme>
    <a:fontScheme name="Student Attendance Record">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office.microsoft.com/client/helppreview14.aspx?AssetId=HA010354866&amp;lcid=1033&amp;NS=EXCEL&amp;Version=14&amp;tl=2&amp;respos=0&amp;CTT=1&amp;queryid=d38d00d08c94494fb55f055eb667c2c9"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table" Target="../tables/table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pageSetUpPr fitToPage="1"/>
  </sheetPr>
  <dimension ref="A1:O32"/>
  <sheetViews>
    <sheetView showGridLines="0" showRowColHeaders="0" topLeftCell="A28" workbookViewId="0"/>
  </sheetViews>
  <sheetFormatPr defaultRowHeight="13.5" x14ac:dyDescent="0.25"/>
  <cols>
    <col min="1" max="3" width="3.28515625" customWidth="1"/>
    <col min="4" max="4" width="3.85546875" customWidth="1"/>
    <col min="14" max="14" width="2.42578125" customWidth="1"/>
  </cols>
  <sheetData>
    <row r="1" spans="1:15" ht="42" customHeight="1" x14ac:dyDescent="0.25">
      <c r="A1" s="83" t="s">
        <v>115</v>
      </c>
      <c r="B1" s="83"/>
      <c r="C1" s="83"/>
      <c r="D1" s="83"/>
      <c r="E1" s="44"/>
      <c r="F1" s="44"/>
      <c r="G1" s="44"/>
      <c r="H1" s="44"/>
      <c r="I1" s="44"/>
      <c r="J1" s="44"/>
      <c r="K1" s="44"/>
      <c r="L1" s="44"/>
      <c r="M1" s="44"/>
      <c r="N1" s="44"/>
    </row>
    <row r="2" spans="1:15" ht="6.75" customHeight="1" x14ac:dyDescent="0.25"/>
    <row r="3" spans="1:15" ht="17.25" x14ac:dyDescent="0.3">
      <c r="B3" s="84" t="s">
        <v>100</v>
      </c>
      <c r="C3" s="84"/>
      <c r="D3" s="84"/>
      <c r="E3" s="84"/>
      <c r="F3" s="84"/>
    </row>
    <row r="4" spans="1:15" ht="28.5" customHeight="1" x14ac:dyDescent="0.25">
      <c r="C4" s="112" t="s">
        <v>104</v>
      </c>
      <c r="D4" s="112"/>
      <c r="E4" s="112"/>
      <c r="F4" s="112"/>
      <c r="G4" s="112"/>
      <c r="H4" s="112"/>
      <c r="I4" s="112"/>
      <c r="J4" s="112"/>
      <c r="K4" s="112"/>
      <c r="L4" s="112"/>
      <c r="M4" s="112"/>
    </row>
    <row r="5" spans="1:15" ht="99.75" customHeight="1" x14ac:dyDescent="0.25">
      <c r="D5" s="89" t="s">
        <v>96</v>
      </c>
      <c r="E5" s="113" t="s">
        <v>119</v>
      </c>
      <c r="F5" s="113"/>
      <c r="G5" s="113"/>
      <c r="H5" s="113"/>
      <c r="I5" s="113"/>
      <c r="J5" s="113"/>
      <c r="K5" s="113"/>
      <c r="L5" s="113"/>
      <c r="M5" s="113"/>
      <c r="N5" s="85"/>
    </row>
    <row r="6" spans="1:15" ht="61.5" customHeight="1" x14ac:dyDescent="0.25">
      <c r="C6" s="85"/>
      <c r="D6" s="89" t="s">
        <v>97</v>
      </c>
      <c r="E6" s="113" t="s">
        <v>122</v>
      </c>
      <c r="F6" s="113"/>
      <c r="G6" s="113"/>
      <c r="H6" s="113"/>
      <c r="I6" s="113"/>
      <c r="J6" s="113"/>
      <c r="K6" s="113"/>
      <c r="L6" s="113"/>
      <c r="M6" s="113"/>
      <c r="N6" s="85"/>
    </row>
    <row r="7" spans="1:15" ht="98.25" customHeight="1" x14ac:dyDescent="0.25">
      <c r="C7" s="85"/>
      <c r="D7" s="89" t="s">
        <v>98</v>
      </c>
      <c r="E7" s="113" t="s">
        <v>123</v>
      </c>
      <c r="F7" s="113"/>
      <c r="G7" s="113"/>
      <c r="H7" s="113"/>
      <c r="I7" s="113"/>
      <c r="J7" s="113"/>
      <c r="K7" s="113"/>
      <c r="L7" s="113"/>
      <c r="M7" s="113"/>
      <c r="N7" s="85"/>
    </row>
    <row r="8" spans="1:15" ht="72.75" customHeight="1" x14ac:dyDescent="0.25">
      <c r="C8" s="85"/>
      <c r="D8" s="89"/>
      <c r="E8" s="114" t="s">
        <v>121</v>
      </c>
      <c r="F8" s="114"/>
      <c r="G8" s="114"/>
      <c r="H8" s="114"/>
      <c r="I8" s="114"/>
      <c r="J8" s="114"/>
      <c r="K8" s="114"/>
      <c r="L8" s="114"/>
      <c r="M8" s="114"/>
      <c r="N8" s="85"/>
    </row>
    <row r="9" spans="1:15" ht="16.5" customHeight="1" x14ac:dyDescent="0.25">
      <c r="E9" s="115" t="s">
        <v>116</v>
      </c>
      <c r="F9" s="115"/>
      <c r="G9" s="115"/>
      <c r="H9" s="115"/>
    </row>
    <row r="10" spans="1:15" ht="6.75" customHeight="1" x14ac:dyDescent="0.25"/>
    <row r="11" spans="1:15" ht="16.5" customHeight="1" x14ac:dyDescent="0.3">
      <c r="B11" s="84" t="s">
        <v>101</v>
      </c>
      <c r="C11" s="84"/>
      <c r="D11" s="84"/>
      <c r="E11" s="84"/>
      <c r="F11" s="84"/>
      <c r="G11" s="84"/>
      <c r="H11" s="84"/>
      <c r="I11" s="84"/>
    </row>
    <row r="12" spans="1:15" s="29" customFormat="1" ht="35.25" customHeight="1" x14ac:dyDescent="0.25">
      <c r="C12" s="112" t="s">
        <v>99</v>
      </c>
      <c r="D12" s="112"/>
      <c r="E12" s="112"/>
      <c r="F12" s="112"/>
      <c r="G12" s="112"/>
      <c r="H12" s="112"/>
      <c r="I12" s="112"/>
      <c r="J12" s="112"/>
      <c r="K12" s="112"/>
      <c r="L12" s="112"/>
      <c r="M12" s="112"/>
    </row>
    <row r="13" spans="1:15" ht="47.25" customHeight="1" x14ac:dyDescent="0.25">
      <c r="D13" s="89" t="s">
        <v>96</v>
      </c>
      <c r="E13" s="113" t="s">
        <v>124</v>
      </c>
      <c r="F13" s="113"/>
      <c r="G13" s="113"/>
      <c r="H13" s="113"/>
      <c r="I13" s="113"/>
      <c r="J13" s="113"/>
      <c r="K13" s="113"/>
      <c r="L13" s="113"/>
      <c r="M13" s="113"/>
      <c r="N13" s="85"/>
      <c r="O13" s="85"/>
    </row>
    <row r="14" spans="1:15" ht="47.25" customHeight="1" x14ac:dyDescent="0.25">
      <c r="D14" s="89"/>
      <c r="E14" s="113" t="s">
        <v>120</v>
      </c>
      <c r="F14" s="113"/>
      <c r="G14" s="113"/>
      <c r="H14" s="113"/>
      <c r="I14" s="113"/>
      <c r="J14" s="113"/>
      <c r="K14" s="113"/>
      <c r="L14" s="113"/>
      <c r="M14" s="113"/>
      <c r="N14" s="85"/>
      <c r="O14" s="85"/>
    </row>
    <row r="15" spans="1:15" s="86" customFormat="1" ht="68.25" customHeight="1" x14ac:dyDescent="0.25">
      <c r="D15" s="89" t="s">
        <v>97</v>
      </c>
      <c r="E15" s="113" t="s">
        <v>109</v>
      </c>
      <c r="F15" s="113"/>
      <c r="G15" s="113"/>
      <c r="H15" s="113"/>
      <c r="I15" s="113"/>
      <c r="J15" s="113"/>
      <c r="K15" s="113"/>
      <c r="L15" s="113"/>
      <c r="M15" s="113"/>
      <c r="N15" s="87"/>
      <c r="O15" s="87"/>
    </row>
    <row r="16" spans="1:15" ht="6.75" customHeight="1" x14ac:dyDescent="0.25"/>
    <row r="17" spans="2:13" ht="17.25" x14ac:dyDescent="0.3">
      <c r="B17" s="84" t="s">
        <v>102</v>
      </c>
      <c r="C17" s="84"/>
      <c r="D17" s="84"/>
      <c r="E17" s="84"/>
      <c r="F17" s="84"/>
      <c r="G17" s="84"/>
      <c r="H17" s="84"/>
      <c r="I17" s="84"/>
      <c r="J17" s="84"/>
    </row>
    <row r="18" spans="2:13" ht="30.75" customHeight="1" x14ac:dyDescent="0.25">
      <c r="B18" s="29"/>
      <c r="C18" s="112" t="s">
        <v>110</v>
      </c>
      <c r="D18" s="112"/>
      <c r="E18" s="112"/>
      <c r="F18" s="112"/>
      <c r="G18" s="112"/>
      <c r="H18" s="112"/>
      <c r="I18" s="112"/>
      <c r="J18" s="112"/>
      <c r="K18" s="112"/>
      <c r="L18" s="112"/>
      <c r="M18" s="112"/>
    </row>
    <row r="19" spans="2:13" ht="34.5" customHeight="1" x14ac:dyDescent="0.25">
      <c r="B19" s="29"/>
      <c r="C19" s="90"/>
      <c r="D19" s="86" t="s">
        <v>95</v>
      </c>
      <c r="E19" s="112" t="s">
        <v>106</v>
      </c>
      <c r="F19" s="112"/>
      <c r="G19" s="112"/>
      <c r="H19" s="112"/>
      <c r="I19" s="112"/>
      <c r="J19" s="112"/>
      <c r="K19" s="112"/>
      <c r="L19" s="112"/>
      <c r="M19" s="112"/>
    </row>
    <row r="20" spans="2:13" s="86" customFormat="1" ht="44.25" customHeight="1" x14ac:dyDescent="0.25">
      <c r="D20" s="86" t="s">
        <v>95</v>
      </c>
      <c r="E20" s="113" t="s">
        <v>107</v>
      </c>
      <c r="F20" s="113"/>
      <c r="G20" s="113"/>
      <c r="H20" s="113"/>
      <c r="I20" s="113"/>
      <c r="J20" s="113"/>
      <c r="K20" s="113"/>
      <c r="L20" s="113"/>
      <c r="M20" s="113"/>
    </row>
    <row r="21" spans="2:13" s="86" customFormat="1" ht="42.75" customHeight="1" x14ac:dyDescent="0.25">
      <c r="D21" s="86" t="s">
        <v>95</v>
      </c>
      <c r="E21" s="113" t="s">
        <v>117</v>
      </c>
      <c r="F21" s="113"/>
      <c r="G21" s="113"/>
      <c r="H21" s="113"/>
      <c r="I21" s="113"/>
      <c r="J21" s="113"/>
      <c r="K21" s="113"/>
      <c r="L21" s="113"/>
      <c r="M21" s="113"/>
    </row>
    <row r="22" spans="2:13" s="86" customFormat="1" ht="29.25" customHeight="1" x14ac:dyDescent="0.25">
      <c r="D22" s="86" t="s">
        <v>95</v>
      </c>
      <c r="E22" s="113" t="s">
        <v>108</v>
      </c>
      <c r="F22" s="113"/>
      <c r="G22" s="113"/>
      <c r="H22" s="113"/>
      <c r="I22" s="113"/>
      <c r="J22" s="113"/>
      <c r="K22" s="113"/>
      <c r="L22" s="113"/>
      <c r="M22" s="113"/>
    </row>
    <row r="23" spans="2:13" ht="6.75" customHeight="1" x14ac:dyDescent="0.25"/>
    <row r="24" spans="2:13" s="86" customFormat="1" ht="16.5" customHeight="1" x14ac:dyDescent="0.25">
      <c r="B24" s="91" t="s">
        <v>103</v>
      </c>
      <c r="C24" s="91"/>
      <c r="D24" s="91"/>
      <c r="E24" s="91"/>
      <c r="F24" s="91"/>
      <c r="G24" s="91"/>
      <c r="H24" s="91"/>
      <c r="I24" s="91"/>
      <c r="J24" s="91"/>
      <c r="K24" s="91"/>
    </row>
    <row r="25" spans="2:13" s="86" customFormat="1" ht="96" customHeight="1" x14ac:dyDescent="0.25">
      <c r="C25" s="112" t="s">
        <v>118</v>
      </c>
      <c r="D25" s="112"/>
      <c r="E25" s="112"/>
      <c r="F25" s="112"/>
      <c r="G25" s="112"/>
      <c r="H25" s="112"/>
      <c r="I25" s="112"/>
      <c r="J25" s="112"/>
      <c r="K25" s="112"/>
      <c r="L25" s="112"/>
      <c r="M25" s="112"/>
    </row>
    <row r="26" spans="2:13" s="86" customFormat="1" ht="16.5" customHeight="1" x14ac:dyDescent="0.25"/>
    <row r="27" spans="2:13" s="86" customFormat="1" ht="16.5" customHeight="1" x14ac:dyDescent="0.25"/>
    <row r="28" spans="2:13" s="86" customFormat="1" ht="16.5" customHeight="1" x14ac:dyDescent="0.25"/>
    <row r="29" spans="2:13" s="86" customFormat="1" ht="16.5" customHeight="1" x14ac:dyDescent="0.25"/>
    <row r="30" spans="2:13" s="86" customFormat="1" ht="16.5" customHeight="1" x14ac:dyDescent="0.25"/>
    <row r="31" spans="2:13" s="86" customFormat="1" ht="16.5" customHeight="1" x14ac:dyDescent="0.25"/>
    <row r="32" spans="2:13" ht="16.5" customHeight="1" x14ac:dyDescent="0.25"/>
  </sheetData>
  <mergeCells count="16">
    <mergeCell ref="E22:M22"/>
    <mergeCell ref="C25:M25"/>
    <mergeCell ref="E13:M13"/>
    <mergeCell ref="E15:M15"/>
    <mergeCell ref="C18:M18"/>
    <mergeCell ref="E19:M19"/>
    <mergeCell ref="E20:M20"/>
    <mergeCell ref="E21:M21"/>
    <mergeCell ref="E14:M14"/>
    <mergeCell ref="C12:M12"/>
    <mergeCell ref="C4:M4"/>
    <mergeCell ref="E5:M5"/>
    <mergeCell ref="E6:M6"/>
    <mergeCell ref="E7:M7"/>
    <mergeCell ref="E8:M8"/>
    <mergeCell ref="E9:H9"/>
  </mergeCells>
  <hyperlinks>
    <hyperlink ref="E9:F9" r:id="rId1" location="_Toc261352312" display="Customize a document theme." xr:uid="{00000000-0004-0000-0000-000000000000}"/>
  </hyperlinks>
  <printOptions horizontalCentered="1"/>
  <pageMargins left="0.25" right="0.25" top="0.75" bottom="0.75" header="0.3" footer="0.3"/>
  <pageSetup paperSize="9" scale="77" orientation="portrait" r:id="rId2"/>
  <ignoredErrors>
    <ignoredError sqref="D15 D5:D7 D13"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249977111117893"/>
    <pageSetUpPr fitToPage="1"/>
  </sheetPr>
  <dimension ref="A1:AM264"/>
  <sheetViews>
    <sheetView showGridLines="0" zoomScaleNormal="100" workbookViewId="0">
      <pane xSplit="3" ySplit="6" topLeftCell="D7" activePane="bottomRight" state="frozen"/>
      <selection pane="topRight"/>
      <selection pane="bottomLeft"/>
      <selection pane="bottomRight"/>
    </sheetView>
  </sheetViews>
  <sheetFormatPr defaultRowHeight="15" customHeight="1" x14ac:dyDescent="0.25"/>
  <cols>
    <col min="1" max="1" width="2.7109375" style="11" customWidth="1"/>
    <col min="2" max="2" width="15.7109375" style="11" bestFit="1" customWidth="1"/>
    <col min="3" max="3" width="28.85546875" style="12" customWidth="1"/>
    <col min="4" max="34" width="5" style="10" customWidth="1"/>
    <col min="35" max="35" width="4.7109375" style="9" customWidth="1"/>
    <col min="36" max="36" width="4.7109375" style="10" customWidth="1"/>
    <col min="37" max="38" width="4.7109375" style="11" customWidth="1"/>
    <col min="39" max="39" width="16.85546875" style="11" bestFit="1" customWidth="1"/>
    <col min="40" max="16384" width="9.140625" style="11"/>
  </cols>
  <sheetData>
    <row r="1" spans="1:39" s="1" customFormat="1" ht="42" customHeight="1" x14ac:dyDescent="0.25">
      <c r="A1" s="38" t="s">
        <v>88</v>
      </c>
      <c r="B1" s="39"/>
      <c r="C1" s="39"/>
      <c r="D1" s="40"/>
      <c r="E1" s="40"/>
      <c r="F1" s="40"/>
      <c r="G1" s="40"/>
      <c r="H1" s="40"/>
      <c r="I1" s="40"/>
      <c r="J1" s="40"/>
      <c r="K1" s="40"/>
      <c r="L1" s="40"/>
      <c r="M1" s="40"/>
      <c r="N1" s="40"/>
      <c r="O1" s="40"/>
      <c r="P1" s="40"/>
      <c r="Q1" s="40"/>
      <c r="R1" s="40"/>
      <c r="S1" s="40"/>
      <c r="T1" s="40"/>
      <c r="U1" s="40"/>
      <c r="V1" s="40"/>
      <c r="W1" s="40"/>
      <c r="X1" s="40"/>
      <c r="Y1" s="40"/>
      <c r="Z1" s="40"/>
      <c r="AA1" s="40"/>
      <c r="AB1" s="40"/>
      <c r="AC1" s="39"/>
      <c r="AD1" s="39"/>
      <c r="AE1" s="39"/>
      <c r="AF1" s="39"/>
      <c r="AG1" s="41"/>
      <c r="AH1" s="39"/>
      <c r="AI1" s="39"/>
      <c r="AJ1" s="42"/>
      <c r="AK1" s="39"/>
      <c r="AL1" s="55" t="s">
        <v>71</v>
      </c>
      <c r="AM1" s="56">
        <f>CalendárioAnual</f>
        <v>2018</v>
      </c>
    </row>
    <row r="2" spans="1:39" customFormat="1" ht="13.5" x14ac:dyDescent="0.25"/>
    <row r="3" spans="1:39" s="30" customFormat="1" ht="12.75" customHeight="1" x14ac:dyDescent="0.25">
      <c r="C3" s="45" t="str">
        <f>TextoColorKey</f>
        <v xml:space="preserve">CHAVE DE CORES </v>
      </c>
      <c r="D3" s="49" t="str">
        <f>Código1</f>
        <v>T</v>
      </c>
      <c r="E3" s="64" t="str">
        <f>Código1Texto</f>
        <v>Atrasado</v>
      </c>
      <c r="F3" s="54"/>
      <c r="H3" s="50" t="str">
        <f>Código2</f>
        <v>E</v>
      </c>
      <c r="I3" s="54" t="str">
        <f>Código2Texto</f>
        <v>Justificado</v>
      </c>
      <c r="L3" s="51" t="str">
        <f>Código3</f>
        <v>U</v>
      </c>
      <c r="M3" s="54" t="str">
        <f>Código3Texto</f>
        <v>Não justificado</v>
      </c>
      <c r="P3" s="52" t="str">
        <f>Código4</f>
        <v>P</v>
      </c>
      <c r="Q3" s="54" t="str">
        <f>Código4Texto</f>
        <v>Presente</v>
      </c>
      <c r="T3" s="53" t="str">
        <f>Código5</f>
        <v>N</v>
      </c>
      <c r="U3" s="54" t="str">
        <f>Código5Texto</f>
        <v>Não há Escola</v>
      </c>
      <c r="W3"/>
      <c r="X3"/>
      <c r="Y3"/>
      <c r="AD3" s="29"/>
      <c r="AE3" s="29"/>
      <c r="AH3" s="31"/>
      <c r="AI3" s="32"/>
      <c r="AK3" s="33"/>
    </row>
    <row r="4" spans="1:39" customFormat="1" ht="16.5" customHeight="1" x14ac:dyDescent="0.25"/>
    <row r="5" spans="1:39" s="2" customFormat="1" ht="18" customHeight="1" x14ac:dyDescent="0.3">
      <c r="B5" s="58">
        <f>DATE(CalendárioAnual+1,3,1)</f>
        <v>43525</v>
      </c>
      <c r="C5" s="57"/>
      <c r="D5" s="43" t="str">
        <f>TEXT(WEEKDAY(DATE(CalendárioAnual+1,3,1),1),"ddd")</f>
        <v>sex</v>
      </c>
      <c r="E5" s="43" t="str">
        <f>TEXT(WEEKDAY(DATE(CalendárioAnual+1,3,2),1),"ddd")</f>
        <v>sáb</v>
      </c>
      <c r="F5" s="43" t="str">
        <f>TEXT(WEEKDAY(DATE(CalendárioAnual+1,3,3),1),"ddd")</f>
        <v>dom</v>
      </c>
      <c r="G5" s="43" t="str">
        <f>TEXT(WEEKDAY(DATE(CalendárioAnual+1,3,4),1),"ddd")</f>
        <v>seg</v>
      </c>
      <c r="H5" s="43" t="str">
        <f>TEXT(WEEKDAY(DATE(CalendárioAnual+1,3,5),1),"ddd")</f>
        <v>ter</v>
      </c>
      <c r="I5" s="43" t="str">
        <f>TEXT(WEEKDAY(DATE(CalendárioAnual+1,3,6),1),"ddd")</f>
        <v>qua</v>
      </c>
      <c r="J5" s="43" t="str">
        <f>TEXT(WEEKDAY(DATE(CalendárioAnual+1,3,7),1),"ddd")</f>
        <v>qui</v>
      </c>
      <c r="K5" s="43" t="str">
        <f>TEXT(WEEKDAY(DATE(CalendárioAnual+1,3,8),1),"ddd")</f>
        <v>sex</v>
      </c>
      <c r="L5" s="43" t="str">
        <f>TEXT(WEEKDAY(DATE(CalendárioAnual+1,3,9),1),"ddd")</f>
        <v>sáb</v>
      </c>
      <c r="M5" s="43" t="str">
        <f>TEXT(WEEKDAY(DATE(CalendárioAnual+1,3,10),1),"ddd")</f>
        <v>dom</v>
      </c>
      <c r="N5" s="43" t="str">
        <f>TEXT(WEEKDAY(DATE(CalendárioAnual+1,3,11),1),"ddd")</f>
        <v>seg</v>
      </c>
      <c r="O5" s="43" t="str">
        <f>TEXT(WEEKDAY(DATE(CalendárioAnual+1,3,12),1),"ddd")</f>
        <v>ter</v>
      </c>
      <c r="P5" s="43" t="str">
        <f>TEXT(WEEKDAY(DATE(CalendárioAnual+1,3,13),1),"ddd")</f>
        <v>qua</v>
      </c>
      <c r="Q5" s="43" t="str">
        <f>TEXT(WEEKDAY(DATE(CalendárioAnual+1,3,14),1),"ddd")</f>
        <v>qui</v>
      </c>
      <c r="R5" s="43" t="str">
        <f>TEXT(WEEKDAY(DATE(CalendárioAnual+1,3,15),1),"ddd")</f>
        <v>sex</v>
      </c>
      <c r="S5" s="43" t="str">
        <f>TEXT(WEEKDAY(DATE(CalendárioAnual+1,3,16),1),"ddd")</f>
        <v>sáb</v>
      </c>
      <c r="T5" s="43" t="str">
        <f>TEXT(WEEKDAY(DATE(CalendárioAnual+1,3,17),1),"ddd")</f>
        <v>dom</v>
      </c>
      <c r="U5" s="43" t="str">
        <f>TEXT(WEEKDAY(DATE(CalendárioAnual+1,3,18),1),"ddd")</f>
        <v>seg</v>
      </c>
      <c r="V5" s="43" t="str">
        <f>TEXT(WEEKDAY(DATE(CalendárioAnual+1,3,19),1),"ddd")</f>
        <v>ter</v>
      </c>
      <c r="W5" s="43" t="str">
        <f>TEXT(WEEKDAY(DATE(CalendárioAnual+1,3,20),1),"ddd")</f>
        <v>qua</v>
      </c>
      <c r="X5" s="43" t="str">
        <f>TEXT(WEEKDAY(DATE(CalendárioAnual+1,3,21),1),"ddd")</f>
        <v>qui</v>
      </c>
      <c r="Y5" s="43" t="str">
        <f>TEXT(WEEKDAY(DATE(CalendárioAnual+1,3,22),1),"ddd")</f>
        <v>sex</v>
      </c>
      <c r="Z5" s="43" t="str">
        <f>TEXT(WEEKDAY(DATE(CalendárioAnual+1,3,23),1),"ddd")</f>
        <v>sáb</v>
      </c>
      <c r="AA5" s="43" t="str">
        <f>TEXT(WEEKDAY(DATE(CalendárioAnual+1,3,24),1),"ddd")</f>
        <v>dom</v>
      </c>
      <c r="AB5" s="43" t="str">
        <f>TEXT(WEEKDAY(DATE(CalendárioAnual+1,3,25),1),"ddd")</f>
        <v>seg</v>
      </c>
      <c r="AC5" s="43" t="str">
        <f>TEXT(WEEKDAY(DATE(CalendárioAnual+1,3,26),1),"ddd")</f>
        <v>ter</v>
      </c>
      <c r="AD5" s="43" t="str">
        <f>TEXT(WEEKDAY(DATE(CalendárioAnual+1,3,27),1),"ddd")</f>
        <v>qua</v>
      </c>
      <c r="AE5" s="43" t="str">
        <f>TEXT(WEEKDAY(DATE(CalendárioAnual+1,3,28),1),"ddd")</f>
        <v>qui</v>
      </c>
      <c r="AF5" s="43" t="str">
        <f>TEXT(WEEKDAY(DATE(CalendárioAnual+1,3,29),1),"ddd")</f>
        <v>sex</v>
      </c>
      <c r="AG5" s="43" t="str">
        <f>TEXT(WEEKDAY(DATE(CalendárioAnual+1,3,30),1),"ddd")</f>
        <v>sáb</v>
      </c>
      <c r="AH5" s="43" t="str">
        <f>TEXT(WEEKDAY(DATE(CalendárioAnual+1,3,31),1),"ddd")</f>
        <v>dom</v>
      </c>
      <c r="AI5" s="119" t="s">
        <v>40</v>
      </c>
      <c r="AJ5" s="119"/>
      <c r="AK5" s="119"/>
      <c r="AL5" s="119"/>
      <c r="AM5" s="119"/>
    </row>
    <row r="6" spans="1:39" ht="14.25" customHeight="1" x14ac:dyDescent="0.25">
      <c r="B6" s="26" t="s">
        <v>34</v>
      </c>
      <c r="C6" s="27" t="s">
        <v>35</v>
      </c>
      <c r="D6" s="28" t="s">
        <v>0</v>
      </c>
      <c r="E6" s="28" t="s">
        <v>1</v>
      </c>
      <c r="F6" s="28" t="s">
        <v>2</v>
      </c>
      <c r="G6" s="28" t="s">
        <v>3</v>
      </c>
      <c r="H6" s="28" t="s">
        <v>4</v>
      </c>
      <c r="I6" s="28" t="s">
        <v>5</v>
      </c>
      <c r="J6" s="28" t="s">
        <v>6</v>
      </c>
      <c r="K6" s="28" t="s">
        <v>7</v>
      </c>
      <c r="L6" s="28" t="s">
        <v>8</v>
      </c>
      <c r="M6" s="28" t="s">
        <v>9</v>
      </c>
      <c r="N6" s="28" t="s">
        <v>10</v>
      </c>
      <c r="O6" s="28" t="s">
        <v>11</v>
      </c>
      <c r="P6" s="28" t="s">
        <v>12</v>
      </c>
      <c r="Q6" s="28" t="s">
        <v>13</v>
      </c>
      <c r="R6" s="28" t="s">
        <v>14</v>
      </c>
      <c r="S6" s="28" t="s">
        <v>15</v>
      </c>
      <c r="T6" s="28" t="s">
        <v>16</v>
      </c>
      <c r="U6" s="28" t="s">
        <v>17</v>
      </c>
      <c r="V6" s="28" t="s">
        <v>18</v>
      </c>
      <c r="W6" s="28" t="s">
        <v>19</v>
      </c>
      <c r="X6" s="28" t="s">
        <v>20</v>
      </c>
      <c r="Y6" s="28" t="s">
        <v>21</v>
      </c>
      <c r="Z6" s="28" t="s">
        <v>22</v>
      </c>
      <c r="AA6" s="28" t="s">
        <v>23</v>
      </c>
      <c r="AB6" s="28" t="s">
        <v>24</v>
      </c>
      <c r="AC6" s="28" t="s">
        <v>25</v>
      </c>
      <c r="AD6" s="28" t="s">
        <v>26</v>
      </c>
      <c r="AE6" s="28" t="s">
        <v>27</v>
      </c>
      <c r="AF6" s="28" t="s">
        <v>28</v>
      </c>
      <c r="AG6" s="28" t="s">
        <v>29</v>
      </c>
      <c r="AH6" s="28" t="s">
        <v>30</v>
      </c>
      <c r="AI6" s="68" t="s">
        <v>36</v>
      </c>
      <c r="AJ6" s="37" t="s">
        <v>38</v>
      </c>
      <c r="AK6" s="36" t="s">
        <v>37</v>
      </c>
      <c r="AL6" s="34" t="s">
        <v>31</v>
      </c>
      <c r="AM6" t="s">
        <v>39</v>
      </c>
    </row>
    <row r="7" spans="1:39" ht="16.5" customHeight="1" x14ac:dyDescent="0.25">
      <c r="B7" s="25"/>
      <c r="C7" s="20" t="str">
        <f>IFERROR(VLOOKUP(PresençasEmMarço[[#This Row],[ID de Estudante]],ListaDeAlunos[],18,FALSE),"")</f>
        <v/>
      </c>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4"/>
      <c r="AG7" s="3"/>
      <c r="AH7" s="3"/>
      <c r="AI7" s="35">
        <f>COUNTIF(PresençasEmMarço[[#This Row],[1]:[31]],Código1)</f>
        <v>0</v>
      </c>
      <c r="AJ7" s="35">
        <f>COUNTIF(PresençasEmMarço[[#This Row],[1]:[31]],Código2)</f>
        <v>0</v>
      </c>
      <c r="AK7" s="35">
        <f>COUNTIF(PresençasEmMarço[[#This Row],[1]:[31]],Código3)</f>
        <v>0</v>
      </c>
      <c r="AL7" s="35">
        <f>COUNTIF(PresençasEmMarço[[#This Row],[1]:[31]],Código4)</f>
        <v>0</v>
      </c>
      <c r="AM7" s="7">
        <f>SUM(PresençasEmMarço[[#This Row],[E]:[U]])</f>
        <v>0</v>
      </c>
    </row>
    <row r="8" spans="1:39" ht="16.5" customHeight="1" x14ac:dyDescent="0.25">
      <c r="B8" s="25"/>
      <c r="C8" s="21" t="str">
        <f>IFERROR(VLOOKUP(PresençasEmMarço[[#This Row],[ID de Estudante]],ListaDeAlunos[],18,FALSE),"")</f>
        <v/>
      </c>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4"/>
      <c r="AG8" s="3"/>
      <c r="AH8" s="3"/>
      <c r="AI8" s="35">
        <f>COUNTIF(PresençasEmMarço[[#This Row],[1]:[31]],Código1)</f>
        <v>0</v>
      </c>
      <c r="AJ8" s="35">
        <f>COUNTIF(PresençasEmMarço[[#This Row],[1]:[31]],Código2)</f>
        <v>0</v>
      </c>
      <c r="AK8" s="35">
        <f>COUNTIF(PresençasEmMarço[[#This Row],[1]:[31]],Código3)</f>
        <v>0</v>
      </c>
      <c r="AL8" s="35">
        <f>COUNTIF(PresençasEmMarço[[#This Row],[1]:[31]],Código4)</f>
        <v>0</v>
      </c>
      <c r="AM8" s="7">
        <f>SUM(PresençasEmMarço[[#This Row],[E]:[U]])</f>
        <v>0</v>
      </c>
    </row>
    <row r="9" spans="1:39" ht="16.5" customHeight="1" x14ac:dyDescent="0.25">
      <c r="B9" s="25"/>
      <c r="C9" s="21" t="str">
        <f>IFERROR(VLOOKUP(PresençasEmMarço[[#This Row],[ID de Estudante]],ListaDeAlunos[],18,FALSE),"")</f>
        <v/>
      </c>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4"/>
      <c r="AG9" s="3"/>
      <c r="AH9" s="3"/>
      <c r="AI9" s="35">
        <f>COUNTIF(PresençasEmMarço[[#This Row],[1]:[31]],Código1)</f>
        <v>0</v>
      </c>
      <c r="AJ9" s="35">
        <f>COUNTIF(PresençasEmMarço[[#This Row],[1]:[31]],Código2)</f>
        <v>0</v>
      </c>
      <c r="AK9" s="35">
        <f>COUNTIF(PresençasEmMarço[[#This Row],[1]:[31]],Código3)</f>
        <v>0</v>
      </c>
      <c r="AL9" s="35">
        <f>COUNTIF(PresençasEmMarço[[#This Row],[1]:[31]],Código4)</f>
        <v>0</v>
      </c>
      <c r="AM9" s="7">
        <f>SUM(PresençasEmMarço[[#This Row],[E]:[U]])</f>
        <v>0</v>
      </c>
    </row>
    <row r="10" spans="1:39" ht="16.5" customHeight="1" x14ac:dyDescent="0.25">
      <c r="B10" s="25"/>
      <c r="C10" s="21" t="str">
        <f>IFERROR(VLOOKUP(PresençasEmMarço[[#This Row],[ID de Estudante]],ListaDeAlunos[],18,FALSE),"")</f>
        <v/>
      </c>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4"/>
      <c r="AG10" s="3"/>
      <c r="AH10" s="3"/>
      <c r="AI10" s="35">
        <f>COUNTIF(PresençasEmMarço[[#This Row],[1]:[31]],Código1)</f>
        <v>0</v>
      </c>
      <c r="AJ10" s="35">
        <f>COUNTIF(PresençasEmMarço[[#This Row],[1]:[31]],Código2)</f>
        <v>0</v>
      </c>
      <c r="AK10" s="35">
        <f>COUNTIF(PresençasEmMarço[[#This Row],[1]:[31]],Código3)</f>
        <v>0</v>
      </c>
      <c r="AL10" s="35">
        <f>COUNTIF(PresençasEmMarço[[#This Row],[1]:[31]],Código4)</f>
        <v>0</v>
      </c>
      <c r="AM10" s="7">
        <f>SUM(PresençasEmMarço[[#This Row],[E]:[U]])</f>
        <v>0</v>
      </c>
    </row>
    <row r="11" spans="1:39" ht="16.5" customHeight="1" x14ac:dyDescent="0.25">
      <c r="B11" s="25"/>
      <c r="C11" s="21" t="str">
        <f>IFERROR(VLOOKUP(PresençasEmMarço[[#This Row],[ID de Estudante]],ListaDeAlunos[],18,FALSE),"")</f>
        <v/>
      </c>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4"/>
      <c r="AG11" s="3"/>
      <c r="AH11" s="3"/>
      <c r="AI11" s="35">
        <f>COUNTIF(PresençasEmMarço[[#This Row],[1]:[31]],Código1)</f>
        <v>0</v>
      </c>
      <c r="AJ11" s="35">
        <f>COUNTIF(PresençasEmMarço[[#This Row],[1]:[31]],Código2)</f>
        <v>0</v>
      </c>
      <c r="AK11" s="35">
        <f>COUNTIF(PresençasEmMarço[[#This Row],[1]:[31]],Código3)</f>
        <v>0</v>
      </c>
      <c r="AL11" s="35">
        <f>COUNTIF(PresençasEmMarço[[#This Row],[1]:[31]],Código4)</f>
        <v>0</v>
      </c>
      <c r="AM11" s="7">
        <f>SUM(PresençasEmMarço[[#This Row],[E]:[U]])</f>
        <v>0</v>
      </c>
    </row>
    <row r="12" spans="1:39" ht="16.5" customHeight="1" x14ac:dyDescent="0.25">
      <c r="B12" s="3"/>
      <c r="C12" s="4" t="s">
        <v>113</v>
      </c>
      <c r="D12" s="7">
        <f>COUNTIF(PresençasEmMarço[1],"U")+COUNTIF(PresençasEmMarço[1],"E")</f>
        <v>0</v>
      </c>
      <c r="E12" s="7">
        <f>COUNTIF(PresençasEmMarço[2],"U")+COUNTIF(PresençasEmMarço[2],"E")</f>
        <v>0</v>
      </c>
      <c r="F12" s="7">
        <f>COUNTIF(PresençasEmMarço[3],"U")+COUNTIF(PresençasEmMarço[3],"E")</f>
        <v>0</v>
      </c>
      <c r="G12" s="7">
        <f>COUNTIF(PresençasEmMarço[4],"U")+COUNTIF(PresençasEmMarço[4],"E")</f>
        <v>0</v>
      </c>
      <c r="H12" s="7">
        <f>COUNTIF(PresençasEmMarço[5],"U")+COUNTIF(PresençasEmMarço[5],"E")</f>
        <v>0</v>
      </c>
      <c r="I12" s="7">
        <f>COUNTIF(PresençasEmMarço[6],"U")+COUNTIF(PresençasEmMarço[6],"E")</f>
        <v>0</v>
      </c>
      <c r="J12" s="7">
        <f>COUNTIF(PresençasEmMarço[7],"U")+COUNTIF(PresençasEmMarço[7],"E")</f>
        <v>0</v>
      </c>
      <c r="K12" s="7">
        <f>COUNTIF(PresençasEmMarço[8],"U")+COUNTIF(PresençasEmMarço[8],"E")</f>
        <v>0</v>
      </c>
      <c r="L12" s="7">
        <f>COUNTIF(PresençasEmMarço[9],"U")+COUNTIF(PresençasEmMarço[9],"E")</f>
        <v>0</v>
      </c>
      <c r="M12" s="7">
        <f>COUNTIF(PresençasEmMarço[10],"U")+COUNTIF(PresençasEmMarço[10],"E")</f>
        <v>0</v>
      </c>
      <c r="N12" s="7">
        <f>COUNTIF(PresençasEmMarço[11],"U")+COUNTIF(PresençasEmMarço[11],"E")</f>
        <v>0</v>
      </c>
      <c r="O12" s="7">
        <f>COUNTIF(PresençasEmMarço[12],"U")+COUNTIF(PresençasEmMarço[12],"E")</f>
        <v>0</v>
      </c>
      <c r="P12" s="7">
        <f>COUNTIF(PresençasEmMarço[13],"U")+COUNTIF(PresençasEmMarço[13],"E")</f>
        <v>0</v>
      </c>
      <c r="Q12" s="7">
        <f>COUNTIF(PresençasEmMarço[14],"U")+COUNTIF(PresençasEmMarço[14],"E")</f>
        <v>0</v>
      </c>
      <c r="R12" s="7">
        <f>COUNTIF(PresençasEmMarço[15],"U")+COUNTIF(PresençasEmMarço[15],"E")</f>
        <v>0</v>
      </c>
      <c r="S12" s="7">
        <f>COUNTIF(PresençasEmMarço[16],"U")+COUNTIF(PresençasEmMarço[16],"E")</f>
        <v>0</v>
      </c>
      <c r="T12" s="7">
        <f>COUNTIF(PresençasEmMarço[17],"U")+COUNTIF(PresençasEmMarço[17],"E")</f>
        <v>0</v>
      </c>
      <c r="U12" s="7">
        <f>COUNTIF(PresençasEmMarço[18],"U")+COUNTIF(PresençasEmMarço[18],"E")</f>
        <v>0</v>
      </c>
      <c r="V12" s="7">
        <f>COUNTIF(PresençasEmMarço[19],"U")+COUNTIF(PresençasEmMarço[19],"E")</f>
        <v>0</v>
      </c>
      <c r="W12" s="7">
        <f>COUNTIF(PresençasEmMarço[20],"U")+COUNTIF(PresençasEmMarço[20],"E")</f>
        <v>0</v>
      </c>
      <c r="X12" s="7">
        <f>COUNTIF(PresençasEmMarço[21],"U")+COUNTIF(PresençasEmMarço[21],"E")</f>
        <v>0</v>
      </c>
      <c r="Y12" s="7">
        <f>COUNTIF(PresençasEmMarço[22],"U")+COUNTIF(PresençasEmMarço[22],"E")</f>
        <v>0</v>
      </c>
      <c r="Z12" s="7">
        <f>COUNTIF(PresençasEmMarço[23],"U")+COUNTIF(PresençasEmMarço[23],"E")</f>
        <v>0</v>
      </c>
      <c r="AA12" s="7">
        <f>COUNTIF(PresençasEmMarço[24],"U")+COUNTIF(PresençasEmMarço[24],"E")</f>
        <v>0</v>
      </c>
      <c r="AB12" s="7">
        <f>COUNTIF(PresençasEmMarço[25],"U")+COUNTIF(PresençasEmMarço[25],"E")</f>
        <v>0</v>
      </c>
      <c r="AC12" s="7">
        <f>COUNTIF(PresençasEmMarço[26],"U")+COUNTIF(PresençasEmMarço[26],"E")</f>
        <v>0</v>
      </c>
      <c r="AD12" s="7">
        <f>COUNTIF(PresençasEmMarço[27],"U")+COUNTIF(PresençasEmMarço[27],"E")</f>
        <v>0</v>
      </c>
      <c r="AE12" s="7">
        <f>COUNTIF(PresençasEmMarço[28],"U")+COUNTIF(PresençasEmMarço[28],"E")</f>
        <v>0</v>
      </c>
      <c r="AF12" s="7">
        <f>COUNTIF(PresençasEmMarço[29],"U")+COUNTIF(PresençasEmMarço[29],"E")</f>
        <v>0</v>
      </c>
      <c r="AG12" s="7"/>
      <c r="AH12" s="7"/>
      <c r="AI12" s="7">
        <f>SUBTOTAL(109,PresençasEmMarço[T])</f>
        <v>0</v>
      </c>
      <c r="AJ12" s="7">
        <f>SUBTOTAL(109,PresençasEmMarço[E])</f>
        <v>0</v>
      </c>
      <c r="AK12" s="7">
        <f>SUBTOTAL(109,PresençasEmMarço[U])</f>
        <v>0</v>
      </c>
      <c r="AL12" s="7">
        <f>SUBTOTAL(109,PresençasEmMarço[P])</f>
        <v>0</v>
      </c>
      <c r="AM12" s="7">
        <f>SUBTOTAL(109,PresençasEmMarço[Dias de Ausência])</f>
        <v>0</v>
      </c>
    </row>
    <row r="13" spans="1:39" ht="16.5" customHeight="1" x14ac:dyDescent="0.25"/>
    <row r="14" spans="1:39" ht="16.5" customHeight="1" x14ac:dyDescent="0.25"/>
    <row r="15" spans="1:39" ht="16.5" customHeight="1" x14ac:dyDescent="0.25"/>
    <row r="16" spans="1:39"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sheetData>
  <sheetProtection formatCells="0" formatColumns="0" formatRows="0" insertColumns="0" insertRows="0" insertHyperlinks="0" deleteColumns="0" deleteRows="0" sort="0" autoFilter="0" pivotTables="0"/>
  <mergeCells count="1">
    <mergeCell ref="AI5:AM5"/>
  </mergeCells>
  <conditionalFormatting sqref="AM7:AM11">
    <cfRule type="dataBar" priority="1">
      <dataBar>
        <cfvo type="min"/>
        <cfvo type="num" val="DATEDIF(DATE(CalendárioAnual,2,1),DATE(CalendárioAnual,3,1),&quot;d&quot;)"/>
        <color theme="4"/>
      </dataBar>
      <extLst>
        <ext xmlns:x14="http://schemas.microsoft.com/office/spreadsheetml/2009/9/main" uri="{B025F937-C7B1-47D3-B67F-A62EFF666E3E}">
          <x14:id>{FE16E06C-E989-439D-8944-FBFC073CA68C}</x14:id>
        </ext>
      </extLst>
    </cfRule>
  </conditionalFormatting>
  <conditionalFormatting sqref="D7:AF11">
    <cfRule type="expression" dxfId="458" priority="2" stopIfTrue="1">
      <formula>D7=Código2</formula>
    </cfRule>
  </conditionalFormatting>
  <conditionalFormatting sqref="D7:AF11">
    <cfRule type="expression" dxfId="457" priority="3" stopIfTrue="1">
      <formula>D7=Código5</formula>
    </cfRule>
    <cfRule type="expression" dxfId="456" priority="4" stopIfTrue="1">
      <formula>D7=Código4</formula>
    </cfRule>
    <cfRule type="expression" dxfId="455" priority="5" stopIfTrue="1">
      <formula>D7=Código3</formula>
    </cfRule>
    <cfRule type="expression" dxfId="454" priority="6" stopIfTrue="1">
      <formula>D7=Código1</formula>
    </cfRule>
  </conditionalFormatting>
  <dataValidations count="1">
    <dataValidation type="list" errorStyle="warning" allowBlank="1" showInputMessage="1" showErrorMessage="1" errorTitle="Ups!" error="O ID de Estudante que introduziu não está na folha Lista de Estudantes. Pode clicar em Sim para usar os dados que introduziu, mas esse ID de Estudante não estará disponível na folha Relatório de Presenças dos Estudantes." sqref="B7:B11" xr:uid="{00000000-0002-0000-0900-000000000000}">
      <formula1>IDDeAluno</formula1>
    </dataValidation>
  </dataValidations>
  <printOptions horizontalCentered="1"/>
  <pageMargins left="0.5" right="0.5" top="0.75" bottom="0.75" header="0.3" footer="0.3"/>
  <pageSetup paperSize="9" scale="58" fitToHeight="0" orientation="landscape" verticalDpi="12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E16E06C-E989-439D-8944-FBFC073CA68C}">
            <x14:dataBar minLength="0" maxLength="100" border="1" negativeBarBorderColorSameAsPositive="0">
              <x14:cfvo type="autoMin"/>
              <x14:cfvo type="num">
                <xm:f>DATEDIF(DATE(CalendárioAnual,2,1),DATE(CalendárioAnual,3,1),"d")</xm:f>
              </x14:cfvo>
              <x14:borderColor theme="4"/>
              <x14:negativeFillColor rgb="FFFF0000"/>
              <x14:negativeBorderColor rgb="FFFF0000"/>
              <x14:axisColor rgb="FF000000"/>
            </x14:dataBar>
          </x14:cfRule>
          <xm:sqref>AM7:AM11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pageSetUpPr fitToPage="1"/>
  </sheetPr>
  <dimension ref="A1:AM264"/>
  <sheetViews>
    <sheetView showGridLines="0" zoomScaleNormal="100" workbookViewId="0">
      <pane xSplit="3" ySplit="6" topLeftCell="D7" activePane="bottomRight" state="frozen"/>
      <selection pane="topRight"/>
      <selection pane="bottomLeft"/>
      <selection pane="bottomRight"/>
    </sheetView>
  </sheetViews>
  <sheetFormatPr defaultRowHeight="15" customHeight="1" x14ac:dyDescent="0.25"/>
  <cols>
    <col min="1" max="1" width="2.7109375" style="11" customWidth="1"/>
    <col min="2" max="2" width="15.7109375" style="11" bestFit="1" customWidth="1"/>
    <col min="3" max="3" width="28.85546875" style="12" customWidth="1"/>
    <col min="4" max="34" width="5" style="10" customWidth="1"/>
    <col min="35" max="35" width="4.7109375" style="9" customWidth="1"/>
    <col min="36" max="36" width="4.7109375" style="10" customWidth="1"/>
    <col min="37" max="38" width="4.7109375" style="11" customWidth="1"/>
    <col min="39" max="39" width="16.85546875" style="11" bestFit="1" customWidth="1"/>
    <col min="40" max="16384" width="9.140625" style="11"/>
  </cols>
  <sheetData>
    <row r="1" spans="1:39" s="1" customFormat="1" ht="42" customHeight="1" x14ac:dyDescent="0.25">
      <c r="A1" s="38" t="s">
        <v>88</v>
      </c>
      <c r="B1" s="39"/>
      <c r="C1" s="39"/>
      <c r="D1" s="40"/>
      <c r="E1" s="40"/>
      <c r="F1" s="40"/>
      <c r="G1" s="40"/>
      <c r="H1" s="40"/>
      <c r="I1" s="40"/>
      <c r="J1" s="40"/>
      <c r="K1" s="40"/>
      <c r="L1" s="40"/>
      <c r="M1" s="40"/>
      <c r="N1" s="40"/>
      <c r="O1" s="40"/>
      <c r="P1" s="40"/>
      <c r="Q1" s="40"/>
      <c r="R1" s="40"/>
      <c r="S1" s="40"/>
      <c r="T1" s="40"/>
      <c r="U1" s="40"/>
      <c r="V1" s="40"/>
      <c r="W1" s="40"/>
      <c r="X1" s="40"/>
      <c r="Y1" s="40"/>
      <c r="Z1" s="40"/>
      <c r="AA1" s="40"/>
      <c r="AB1" s="40"/>
      <c r="AC1" s="39"/>
      <c r="AD1" s="39"/>
      <c r="AE1" s="39"/>
      <c r="AF1" s="39"/>
      <c r="AG1" s="41"/>
      <c r="AH1" s="39"/>
      <c r="AI1" s="39"/>
      <c r="AJ1" s="42"/>
      <c r="AK1" s="39"/>
      <c r="AL1" s="55" t="s">
        <v>71</v>
      </c>
      <c r="AM1" s="56">
        <f>CalendárioAnual</f>
        <v>2018</v>
      </c>
    </row>
    <row r="2" spans="1:39" customFormat="1" ht="13.5" x14ac:dyDescent="0.25"/>
    <row r="3" spans="1:39" s="30" customFormat="1" ht="12.75" customHeight="1" x14ac:dyDescent="0.25">
      <c r="C3" s="45" t="str">
        <f>TextoColorKey</f>
        <v xml:space="preserve">CHAVE DE CORES </v>
      </c>
      <c r="D3" s="49" t="str">
        <f>Código1</f>
        <v>T</v>
      </c>
      <c r="E3" s="64" t="str">
        <f>Código1Texto</f>
        <v>Atrasado</v>
      </c>
      <c r="F3" s="54"/>
      <c r="H3" s="50" t="str">
        <f>Código2</f>
        <v>E</v>
      </c>
      <c r="I3" s="54" t="str">
        <f>Código2Texto</f>
        <v>Justificado</v>
      </c>
      <c r="L3" s="51" t="str">
        <f>Código3</f>
        <v>U</v>
      </c>
      <c r="M3" s="54" t="str">
        <f>Código3Texto</f>
        <v>Não justificado</v>
      </c>
      <c r="P3" s="52" t="str">
        <f>Código4</f>
        <v>P</v>
      </c>
      <c r="Q3" s="54" t="str">
        <f>Código4Texto</f>
        <v>Presente</v>
      </c>
      <c r="T3" s="53" t="str">
        <f>Código5</f>
        <v>N</v>
      </c>
      <c r="U3" s="54" t="str">
        <f>Código5Texto</f>
        <v>Não há Escola</v>
      </c>
      <c r="W3"/>
      <c r="X3"/>
      <c r="Y3"/>
      <c r="AD3" s="29"/>
      <c r="AE3" s="29"/>
      <c r="AH3" s="31"/>
      <c r="AI3" s="32"/>
      <c r="AK3" s="33"/>
    </row>
    <row r="4" spans="1:39" customFormat="1" ht="16.5" customHeight="1" x14ac:dyDescent="0.25"/>
    <row r="5" spans="1:39" s="2" customFormat="1" ht="18" customHeight="1" x14ac:dyDescent="0.3">
      <c r="B5" s="58">
        <f>DATE(CalendárioAnual+1,4,1)</f>
        <v>43556</v>
      </c>
      <c r="C5" s="57"/>
      <c r="D5" s="43" t="str">
        <f>TEXT(WEEKDAY(DATE(CalendárioAnual+1,4,1),1),"ddd")</f>
        <v>seg</v>
      </c>
      <c r="E5" s="43" t="str">
        <f>TEXT(WEEKDAY(DATE(CalendárioAnual+1,4,2),1),"ddd")</f>
        <v>ter</v>
      </c>
      <c r="F5" s="43" t="str">
        <f>TEXT(WEEKDAY(DATE(CalendárioAnual+1,4,3),1),"ddd")</f>
        <v>qua</v>
      </c>
      <c r="G5" s="43" t="str">
        <f>TEXT(WEEKDAY(DATE(CalendárioAnual+1,4,4),1),"ddd")</f>
        <v>qui</v>
      </c>
      <c r="H5" s="43" t="str">
        <f>TEXT(WEEKDAY(DATE(CalendárioAnual+1,4,5),1),"ddd")</f>
        <v>sex</v>
      </c>
      <c r="I5" s="43" t="str">
        <f>TEXT(WEEKDAY(DATE(CalendárioAnual+1,4,6),1),"ddd")</f>
        <v>sáb</v>
      </c>
      <c r="J5" s="43" t="str">
        <f>TEXT(WEEKDAY(DATE(CalendárioAnual+1,4,7),1),"ddd")</f>
        <v>dom</v>
      </c>
      <c r="K5" s="43" t="str">
        <f>TEXT(WEEKDAY(DATE(CalendárioAnual+1,4,8),1),"ddd")</f>
        <v>seg</v>
      </c>
      <c r="L5" s="43" t="str">
        <f>TEXT(WEEKDAY(DATE(CalendárioAnual+1,4,9),1),"ddd")</f>
        <v>ter</v>
      </c>
      <c r="M5" s="43" t="str">
        <f>TEXT(WEEKDAY(DATE(CalendárioAnual+1,4,10),1),"ddd")</f>
        <v>qua</v>
      </c>
      <c r="N5" s="43" t="str">
        <f>TEXT(WEEKDAY(DATE(CalendárioAnual+1,4,11),1),"ddd")</f>
        <v>qui</v>
      </c>
      <c r="O5" s="43" t="str">
        <f>TEXT(WEEKDAY(DATE(CalendárioAnual+1,4,12),1),"ddd")</f>
        <v>sex</v>
      </c>
      <c r="P5" s="43" t="str">
        <f>TEXT(WEEKDAY(DATE(CalendárioAnual+1,4,13),1),"ddd")</f>
        <v>sáb</v>
      </c>
      <c r="Q5" s="43" t="str">
        <f>TEXT(WEEKDAY(DATE(CalendárioAnual+1,4,14),1),"ddd")</f>
        <v>dom</v>
      </c>
      <c r="R5" s="43" t="str">
        <f>TEXT(WEEKDAY(DATE(CalendárioAnual+1,4,15),1),"ddd")</f>
        <v>seg</v>
      </c>
      <c r="S5" s="43" t="str">
        <f>TEXT(WEEKDAY(DATE(CalendárioAnual+1,4,16),1),"ddd")</f>
        <v>ter</v>
      </c>
      <c r="T5" s="43" t="str">
        <f>TEXT(WEEKDAY(DATE(CalendárioAnual+1,4,17),1),"ddd")</f>
        <v>qua</v>
      </c>
      <c r="U5" s="43" t="str">
        <f>TEXT(WEEKDAY(DATE(CalendárioAnual+1,4,18),1),"ddd")</f>
        <v>qui</v>
      </c>
      <c r="V5" s="43" t="str">
        <f>TEXT(WEEKDAY(DATE(CalendárioAnual+1,4,19),1),"ddd")</f>
        <v>sex</v>
      </c>
      <c r="W5" s="43" t="str">
        <f>TEXT(WEEKDAY(DATE(CalendárioAnual+1,4,20),1),"ddd")</f>
        <v>sáb</v>
      </c>
      <c r="X5" s="43" t="str">
        <f>TEXT(WEEKDAY(DATE(CalendárioAnual+1,4,21),1),"ddd")</f>
        <v>dom</v>
      </c>
      <c r="Y5" s="43" t="str">
        <f>TEXT(WEEKDAY(DATE(CalendárioAnual+1,4,22),1),"ddd")</f>
        <v>seg</v>
      </c>
      <c r="Z5" s="43" t="str">
        <f>TEXT(WEEKDAY(DATE(CalendárioAnual+1,4,23),1),"ddd")</f>
        <v>ter</v>
      </c>
      <c r="AA5" s="43" t="str">
        <f>TEXT(WEEKDAY(DATE(CalendárioAnual+1,4,24),1),"ddd")</f>
        <v>qua</v>
      </c>
      <c r="AB5" s="43" t="str">
        <f>TEXT(WEEKDAY(DATE(CalendárioAnual+1,4,25),1),"ddd")</f>
        <v>qui</v>
      </c>
      <c r="AC5" s="43" t="str">
        <f>TEXT(WEEKDAY(DATE(CalendárioAnual+1,4,26),1),"ddd")</f>
        <v>sex</v>
      </c>
      <c r="AD5" s="43" t="str">
        <f>TEXT(WEEKDAY(DATE(CalendárioAnual+1,4,27),1),"ddd")</f>
        <v>sáb</v>
      </c>
      <c r="AE5" s="43" t="str">
        <f>TEXT(WEEKDAY(DATE(CalendárioAnual+1,4,28),1),"ddd")</f>
        <v>dom</v>
      </c>
      <c r="AF5" s="43" t="str">
        <f>TEXT(WEEKDAY(DATE(CalendárioAnual+1,4,29),1),"ddd")</f>
        <v>seg</v>
      </c>
      <c r="AG5" s="43" t="str">
        <f>TEXT(WEEKDAY(DATE(CalendárioAnual+1,4,30),1),"ddd")</f>
        <v>ter</v>
      </c>
      <c r="AH5" s="43"/>
      <c r="AI5" s="119" t="s">
        <v>40</v>
      </c>
      <c r="AJ5" s="119"/>
      <c r="AK5" s="119"/>
      <c r="AL5" s="119"/>
      <c r="AM5" s="119"/>
    </row>
    <row r="6" spans="1:39" ht="14.25" customHeight="1" x14ac:dyDescent="0.25">
      <c r="B6" s="26" t="s">
        <v>34</v>
      </c>
      <c r="C6" s="27" t="s">
        <v>35</v>
      </c>
      <c r="D6" s="28" t="s">
        <v>0</v>
      </c>
      <c r="E6" s="28" t="s">
        <v>1</v>
      </c>
      <c r="F6" s="28" t="s">
        <v>2</v>
      </c>
      <c r="G6" s="28" t="s">
        <v>3</v>
      </c>
      <c r="H6" s="28" t="s">
        <v>4</v>
      </c>
      <c r="I6" s="28" t="s">
        <v>5</v>
      </c>
      <c r="J6" s="28" t="s">
        <v>6</v>
      </c>
      <c r="K6" s="28" t="s">
        <v>7</v>
      </c>
      <c r="L6" s="28" t="s">
        <v>8</v>
      </c>
      <c r="M6" s="28" t="s">
        <v>9</v>
      </c>
      <c r="N6" s="28" t="s">
        <v>10</v>
      </c>
      <c r="O6" s="28" t="s">
        <v>11</v>
      </c>
      <c r="P6" s="28" t="s">
        <v>12</v>
      </c>
      <c r="Q6" s="28" t="s">
        <v>13</v>
      </c>
      <c r="R6" s="28" t="s">
        <v>14</v>
      </c>
      <c r="S6" s="28" t="s">
        <v>15</v>
      </c>
      <c r="T6" s="28" t="s">
        <v>16</v>
      </c>
      <c r="U6" s="28" t="s">
        <v>17</v>
      </c>
      <c r="V6" s="28" t="s">
        <v>18</v>
      </c>
      <c r="W6" s="28" t="s">
        <v>19</v>
      </c>
      <c r="X6" s="28" t="s">
        <v>20</v>
      </c>
      <c r="Y6" s="28" t="s">
        <v>21</v>
      </c>
      <c r="Z6" s="28" t="s">
        <v>22</v>
      </c>
      <c r="AA6" s="28" t="s">
        <v>23</v>
      </c>
      <c r="AB6" s="28" t="s">
        <v>24</v>
      </c>
      <c r="AC6" s="28" t="s">
        <v>25</v>
      </c>
      <c r="AD6" s="28" t="s">
        <v>26</v>
      </c>
      <c r="AE6" s="28" t="s">
        <v>27</v>
      </c>
      <c r="AF6" s="28" t="s">
        <v>28</v>
      </c>
      <c r="AG6" s="28" t="s">
        <v>29</v>
      </c>
      <c r="AH6" s="28" t="s">
        <v>112</v>
      </c>
      <c r="AI6" s="68" t="s">
        <v>36</v>
      </c>
      <c r="AJ6" s="37" t="s">
        <v>38</v>
      </c>
      <c r="AK6" s="36" t="s">
        <v>37</v>
      </c>
      <c r="AL6" s="34" t="s">
        <v>31</v>
      </c>
      <c r="AM6" t="s">
        <v>39</v>
      </c>
    </row>
    <row r="7" spans="1:39" ht="16.5" customHeight="1" x14ac:dyDescent="0.25">
      <c r="B7" s="25"/>
      <c r="C7" s="20" t="str">
        <f>IFERROR(VLOOKUP(PresençasEmAbril[[#This Row],[ID de Estudante]],ListaDeAlunos[],18,FALSE),"")</f>
        <v/>
      </c>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4"/>
      <c r="AG7" s="3"/>
      <c r="AH7" s="3"/>
      <c r="AI7" s="35">
        <f>COUNTIF(PresençasEmAbril[[#This Row],[1]:[ ]],Código1)</f>
        <v>0</v>
      </c>
      <c r="AJ7" s="35">
        <f>COUNTIF(PresençasEmAbril[[#This Row],[1]:[ ]],Código2)</f>
        <v>0</v>
      </c>
      <c r="AK7" s="35">
        <f>COUNTIF(PresençasEmAbril[[#This Row],[1]:[ ]],Código3)</f>
        <v>0</v>
      </c>
      <c r="AL7" s="35">
        <f>COUNTIF(PresençasEmAbril[[#This Row],[1]:[ ]],Código4)</f>
        <v>0</v>
      </c>
      <c r="AM7" s="7">
        <f>SUM(PresençasEmAbril[[#This Row],[E]:[U]])</f>
        <v>0</v>
      </c>
    </row>
    <row r="8" spans="1:39" ht="16.5" customHeight="1" x14ac:dyDescent="0.25">
      <c r="B8" s="25"/>
      <c r="C8" s="21" t="str">
        <f>IFERROR(VLOOKUP(PresençasEmAbril[[#This Row],[ID de Estudante]],ListaDeAlunos[],18,FALSE),"")</f>
        <v/>
      </c>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4"/>
      <c r="AG8" s="3"/>
      <c r="AH8" s="3"/>
      <c r="AI8" s="35">
        <f>COUNTIF(PresençasEmAbril[[#This Row],[1]:[ ]],Código1)</f>
        <v>0</v>
      </c>
      <c r="AJ8" s="35">
        <f>COUNTIF(PresençasEmAbril[[#This Row],[1]:[ ]],Código2)</f>
        <v>0</v>
      </c>
      <c r="AK8" s="35">
        <f>COUNTIF(PresençasEmAbril[[#This Row],[1]:[ ]],Código3)</f>
        <v>0</v>
      </c>
      <c r="AL8" s="35">
        <f>COUNTIF(PresençasEmAbril[[#This Row],[1]:[ ]],Código4)</f>
        <v>0</v>
      </c>
      <c r="AM8" s="7">
        <f>SUM(PresençasEmAbril[[#This Row],[E]:[U]])</f>
        <v>0</v>
      </c>
    </row>
    <row r="9" spans="1:39" ht="16.5" customHeight="1" x14ac:dyDescent="0.25">
      <c r="B9" s="25"/>
      <c r="C9" s="21" t="str">
        <f>IFERROR(VLOOKUP(PresençasEmAbril[[#This Row],[ID de Estudante]],ListaDeAlunos[],18,FALSE),"")</f>
        <v/>
      </c>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4"/>
      <c r="AG9" s="3"/>
      <c r="AH9" s="3"/>
      <c r="AI9" s="35">
        <f>COUNTIF(PresençasEmAbril[[#This Row],[1]:[ ]],Código1)</f>
        <v>0</v>
      </c>
      <c r="AJ9" s="35">
        <f>COUNTIF(PresençasEmAbril[[#This Row],[1]:[ ]],Código2)</f>
        <v>0</v>
      </c>
      <c r="AK9" s="35">
        <f>COUNTIF(PresençasEmAbril[[#This Row],[1]:[ ]],Código3)</f>
        <v>0</v>
      </c>
      <c r="AL9" s="35">
        <f>COUNTIF(PresençasEmAbril[[#This Row],[1]:[ ]],Código4)</f>
        <v>0</v>
      </c>
      <c r="AM9" s="7">
        <f>SUM(PresençasEmAbril[[#This Row],[E]:[U]])</f>
        <v>0</v>
      </c>
    </row>
    <row r="10" spans="1:39" ht="16.5" customHeight="1" x14ac:dyDescent="0.25">
      <c r="B10" s="25"/>
      <c r="C10" s="21" t="str">
        <f>IFERROR(VLOOKUP(PresençasEmAbril[[#This Row],[ID de Estudante]],ListaDeAlunos[],18,FALSE),"")</f>
        <v/>
      </c>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4"/>
      <c r="AG10" s="3"/>
      <c r="AH10" s="3"/>
      <c r="AI10" s="35">
        <f>COUNTIF(PresençasEmAbril[[#This Row],[1]:[ ]],Código1)</f>
        <v>0</v>
      </c>
      <c r="AJ10" s="35">
        <f>COUNTIF(PresençasEmAbril[[#This Row],[1]:[ ]],Código2)</f>
        <v>0</v>
      </c>
      <c r="AK10" s="35">
        <f>COUNTIF(PresençasEmAbril[[#This Row],[1]:[ ]],Código3)</f>
        <v>0</v>
      </c>
      <c r="AL10" s="35">
        <f>COUNTIF(PresençasEmAbril[[#This Row],[1]:[ ]],Código4)</f>
        <v>0</v>
      </c>
      <c r="AM10" s="7">
        <f>SUM(PresençasEmAbril[[#This Row],[E]:[U]])</f>
        <v>0</v>
      </c>
    </row>
    <row r="11" spans="1:39" ht="16.5" customHeight="1" x14ac:dyDescent="0.25">
      <c r="B11" s="25"/>
      <c r="C11" s="21" t="str">
        <f>IFERROR(VLOOKUP(PresençasEmAbril[[#This Row],[ID de Estudante]],ListaDeAlunos[],18,FALSE),"")</f>
        <v/>
      </c>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4"/>
      <c r="AG11" s="3"/>
      <c r="AH11" s="3"/>
      <c r="AI11" s="35">
        <f>COUNTIF(PresençasEmAbril[[#This Row],[1]:[ ]],Código1)</f>
        <v>0</v>
      </c>
      <c r="AJ11" s="35">
        <f>COUNTIF(PresençasEmAbril[[#This Row],[1]:[ ]],Código2)</f>
        <v>0</v>
      </c>
      <c r="AK11" s="35">
        <f>COUNTIF(PresençasEmAbril[[#This Row],[1]:[ ]],Código3)</f>
        <v>0</v>
      </c>
      <c r="AL11" s="35">
        <f>COUNTIF(PresençasEmAbril[[#This Row],[1]:[ ]],Código4)</f>
        <v>0</v>
      </c>
      <c r="AM11" s="7">
        <f>SUM(PresençasEmAbril[[#This Row],[E]:[U]])</f>
        <v>0</v>
      </c>
    </row>
    <row r="12" spans="1:39" ht="16.5" customHeight="1" x14ac:dyDescent="0.25">
      <c r="B12" s="106"/>
      <c r="C12" s="107" t="s">
        <v>113</v>
      </c>
      <c r="D12" s="108">
        <f>COUNTIF(PresençasEmAbril[1],"U")+COUNTIF(PresençasEmAbril[1],"E")</f>
        <v>0</v>
      </c>
      <c r="E12" s="108">
        <f>COUNTIF(PresençasEmAbril[2],"U")+COUNTIF(PresençasEmAbril[2],"E")</f>
        <v>0</v>
      </c>
      <c r="F12" s="108">
        <f>COUNTIF(PresençasEmAbril[3],"U")+COUNTIF(PresençasEmAbril[3],"E")</f>
        <v>0</v>
      </c>
      <c r="G12" s="108">
        <f>COUNTIF(PresençasEmAbril[4],"U")+COUNTIF(PresençasEmAbril[4],"E")</f>
        <v>0</v>
      </c>
      <c r="H12" s="108">
        <f>COUNTIF(PresençasEmAbril[5],"U")+COUNTIF(PresençasEmAbril[5],"E")</f>
        <v>0</v>
      </c>
      <c r="I12" s="108">
        <f>COUNTIF(PresençasEmAbril[6],"U")+COUNTIF(PresençasEmAbril[6],"E")</f>
        <v>0</v>
      </c>
      <c r="J12" s="108">
        <f>COUNTIF(PresençasEmAbril[7],"U")+COUNTIF(PresençasEmAbril[7],"E")</f>
        <v>0</v>
      </c>
      <c r="K12" s="108">
        <f>COUNTIF(PresençasEmAbril[8],"U")+COUNTIF(PresençasEmAbril[8],"E")</f>
        <v>0</v>
      </c>
      <c r="L12" s="108">
        <f>COUNTIF(PresençasEmAbril[9],"U")+COUNTIF(PresençasEmAbril[9],"E")</f>
        <v>0</v>
      </c>
      <c r="M12" s="108">
        <f>COUNTIF(PresençasEmAbril[10],"U")+COUNTIF(PresençasEmAbril[10],"E")</f>
        <v>0</v>
      </c>
      <c r="N12" s="108">
        <f>COUNTIF(PresençasEmAbril[11],"U")+COUNTIF(PresençasEmAbril[11],"E")</f>
        <v>0</v>
      </c>
      <c r="O12" s="108">
        <f>COUNTIF(PresençasEmAbril[12],"U")+COUNTIF(PresençasEmAbril[12],"E")</f>
        <v>0</v>
      </c>
      <c r="P12" s="108">
        <f>COUNTIF(PresençasEmAbril[13],"U")+COUNTIF(PresençasEmAbril[13],"E")</f>
        <v>0</v>
      </c>
      <c r="Q12" s="108">
        <f>COUNTIF(PresençasEmAbril[14],"U")+COUNTIF(PresençasEmAbril[14],"E")</f>
        <v>0</v>
      </c>
      <c r="R12" s="108">
        <f>COUNTIF(PresençasEmAbril[15],"U")+COUNTIF(PresençasEmAbril[15],"E")</f>
        <v>0</v>
      </c>
      <c r="S12" s="108">
        <f>COUNTIF(PresençasEmAbril[16],"U")+COUNTIF(PresençasEmAbril[16],"E")</f>
        <v>0</v>
      </c>
      <c r="T12" s="108">
        <f>COUNTIF(PresençasEmAbril[17],"U")+COUNTIF(PresençasEmAbril[17],"E")</f>
        <v>0</v>
      </c>
      <c r="U12" s="108">
        <f>COUNTIF(PresençasEmAbril[18],"U")+COUNTIF(PresençasEmAbril[18],"E")</f>
        <v>0</v>
      </c>
      <c r="V12" s="108">
        <f>COUNTIF(PresençasEmAbril[19],"U")+COUNTIF(PresençasEmAbril[19],"E")</f>
        <v>0</v>
      </c>
      <c r="W12" s="108">
        <f>COUNTIF(PresençasEmAbril[20],"U")+COUNTIF(PresençasEmAbril[20],"E")</f>
        <v>0</v>
      </c>
      <c r="X12" s="108">
        <f>COUNTIF(PresençasEmAbril[21],"U")+COUNTIF(PresençasEmAbril[21],"E")</f>
        <v>0</v>
      </c>
      <c r="Y12" s="108">
        <f>COUNTIF(PresençasEmAbril[22],"U")+COUNTIF(PresençasEmAbril[22],"E")</f>
        <v>0</v>
      </c>
      <c r="Z12" s="108">
        <f>COUNTIF(PresençasEmAbril[23],"U")+COUNTIF(PresençasEmAbril[23],"E")</f>
        <v>0</v>
      </c>
      <c r="AA12" s="108">
        <f>COUNTIF(PresençasEmAbril[24],"U")+COUNTIF(PresençasEmAbril[24],"E")</f>
        <v>0</v>
      </c>
      <c r="AB12" s="108">
        <f>COUNTIF(PresençasEmAbril[25],"U")+COUNTIF(PresençasEmAbril[25],"E")</f>
        <v>0</v>
      </c>
      <c r="AC12" s="108">
        <f>COUNTIF(PresençasEmAbril[26],"U")+COUNTIF(PresençasEmAbril[26],"E")</f>
        <v>0</v>
      </c>
      <c r="AD12" s="108">
        <f>COUNTIF(PresençasEmAbril[27],"U")+COUNTIF(PresençasEmAbril[27],"E")</f>
        <v>0</v>
      </c>
      <c r="AE12" s="108">
        <f>COUNTIF(PresençasEmAbril[28],"U")+COUNTIF(PresençasEmAbril[28],"E")</f>
        <v>0</v>
      </c>
      <c r="AF12" s="108">
        <f>COUNTIF(PresençasEmAbril[29],"U")+COUNTIF(PresençasEmAbril[29],"E")</f>
        <v>0</v>
      </c>
      <c r="AG12" s="108"/>
      <c r="AH12" s="108"/>
      <c r="AI12" s="108">
        <f>SUBTOTAL(109,PresençasEmAbril[T])</f>
        <v>0</v>
      </c>
      <c r="AJ12" s="108">
        <f>SUBTOTAL(109,PresençasEmAbril[E])</f>
        <v>0</v>
      </c>
      <c r="AK12" s="108">
        <f>SUBTOTAL(109,PresençasEmAbril[U])</f>
        <v>0</v>
      </c>
      <c r="AL12" s="108">
        <f>SUBTOTAL(109,PresençasEmAbril[P])</f>
        <v>0</v>
      </c>
      <c r="AM12" s="108">
        <f>SUBTOTAL(109,PresençasEmAbril[Dias de Ausência])</f>
        <v>0</v>
      </c>
    </row>
    <row r="13" spans="1:39" ht="16.5" customHeight="1" x14ac:dyDescent="0.25"/>
    <row r="14" spans="1:39" ht="16.5" customHeight="1" x14ac:dyDescent="0.25"/>
    <row r="15" spans="1:39" ht="16.5" customHeight="1" x14ac:dyDescent="0.25"/>
    <row r="16" spans="1:39"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sheetData>
  <sheetProtection formatCells="0" formatColumns="0" formatRows="0" insertColumns="0" insertRows="0" insertHyperlinks="0" deleteColumns="0" deleteRows="0" sort="0" autoFilter="0" pivotTables="0"/>
  <mergeCells count="1">
    <mergeCell ref="AI5:AM5"/>
  </mergeCells>
  <conditionalFormatting sqref="AM7:AM11">
    <cfRule type="dataBar" priority="1">
      <dataBar>
        <cfvo type="min"/>
        <cfvo type="num" val="DATEDIF(DATE(CalendárioAnual,2,1),DATE(CalendárioAnual,3,1),&quot;d&quot;)"/>
        <color theme="4"/>
      </dataBar>
      <extLst>
        <ext xmlns:x14="http://schemas.microsoft.com/office/spreadsheetml/2009/9/main" uri="{B025F937-C7B1-47D3-B67F-A62EFF666E3E}">
          <x14:id>{9FD523D2-45CA-45DA-93F8-59B772F50C00}</x14:id>
        </ext>
      </extLst>
    </cfRule>
  </conditionalFormatting>
  <conditionalFormatting sqref="D7:AF11">
    <cfRule type="expression" dxfId="375" priority="2" stopIfTrue="1">
      <formula>D7=Código2</formula>
    </cfRule>
  </conditionalFormatting>
  <conditionalFormatting sqref="D7:AF11">
    <cfRule type="expression" dxfId="374" priority="3" stopIfTrue="1">
      <formula>D7=Código5</formula>
    </cfRule>
    <cfRule type="expression" dxfId="373" priority="4" stopIfTrue="1">
      <formula>D7=Código4</formula>
    </cfRule>
    <cfRule type="expression" dxfId="372" priority="5" stopIfTrue="1">
      <formula>D7=Código3</formula>
    </cfRule>
    <cfRule type="expression" dxfId="371" priority="6" stopIfTrue="1">
      <formula>D7=Código1</formula>
    </cfRule>
  </conditionalFormatting>
  <dataValidations count="1">
    <dataValidation type="list" errorStyle="warning" allowBlank="1" showInputMessage="1" showErrorMessage="1" errorTitle="Ups!" error="O ID de Estudante que introduziu não está na folha Lista de Estudantes. Pode clicar em Sim para usar os dados que introduziu, mas esse ID de Estudante não estará disponível na folha Relatório de Presenças dos Estudantes." sqref="B7:B11" xr:uid="{00000000-0002-0000-0A00-000000000000}">
      <formula1>IDDeAluno</formula1>
    </dataValidation>
  </dataValidations>
  <printOptions horizontalCentered="1"/>
  <pageMargins left="0.5" right="0.5" top="0.75" bottom="0.75" header="0.3" footer="0.3"/>
  <pageSetup paperSize="9" scale="58" fitToHeight="0" orientation="landscape" verticalDpi="12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FD523D2-45CA-45DA-93F8-59B772F50C00}">
            <x14:dataBar minLength="0" maxLength="100" border="1" negativeBarBorderColorSameAsPositive="0">
              <x14:cfvo type="autoMin"/>
              <x14:cfvo type="num">
                <xm:f>DATEDIF(DATE(CalendárioAnual,2,1),DATE(CalendárioAnual,3,1),"d")</xm:f>
              </x14:cfvo>
              <x14:borderColor theme="4"/>
              <x14:negativeFillColor rgb="FFFF0000"/>
              <x14:negativeBorderColor rgb="FFFF0000"/>
              <x14:axisColor rgb="FF000000"/>
            </x14:dataBar>
          </x14:cfRule>
          <xm:sqref>AM7:AM11</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39997558519241921"/>
    <pageSetUpPr fitToPage="1"/>
  </sheetPr>
  <dimension ref="A1:AM264"/>
  <sheetViews>
    <sheetView showGridLines="0" zoomScaleNormal="100" workbookViewId="0">
      <pane xSplit="3" ySplit="6" topLeftCell="D7" activePane="bottomRight" state="frozen"/>
      <selection pane="topRight"/>
      <selection pane="bottomLeft"/>
      <selection pane="bottomRight"/>
    </sheetView>
  </sheetViews>
  <sheetFormatPr defaultRowHeight="15" customHeight="1" x14ac:dyDescent="0.25"/>
  <cols>
    <col min="1" max="1" width="2.7109375" style="11" customWidth="1"/>
    <col min="2" max="2" width="15.7109375" style="11" bestFit="1" customWidth="1"/>
    <col min="3" max="3" width="28.85546875" style="12" customWidth="1"/>
    <col min="4" max="34" width="5" style="10" customWidth="1"/>
    <col min="35" max="35" width="4.7109375" style="9" customWidth="1"/>
    <col min="36" max="36" width="4.7109375" style="10" customWidth="1"/>
    <col min="37" max="38" width="4.7109375" style="11" customWidth="1"/>
    <col min="39" max="39" width="16.85546875" style="11" bestFit="1" customWidth="1"/>
    <col min="40" max="16384" width="9.140625" style="11"/>
  </cols>
  <sheetData>
    <row r="1" spans="1:39" s="1" customFormat="1" ht="42" customHeight="1" x14ac:dyDescent="0.25">
      <c r="A1" s="38" t="s">
        <v>88</v>
      </c>
      <c r="B1" s="39"/>
      <c r="C1" s="39"/>
      <c r="D1" s="40"/>
      <c r="E1" s="40"/>
      <c r="F1" s="40"/>
      <c r="G1" s="40"/>
      <c r="H1" s="40"/>
      <c r="I1" s="40"/>
      <c r="J1" s="40"/>
      <c r="K1" s="40"/>
      <c r="L1" s="40"/>
      <c r="M1" s="40"/>
      <c r="N1" s="40"/>
      <c r="O1" s="40"/>
      <c r="P1" s="40"/>
      <c r="Q1" s="40"/>
      <c r="R1" s="40"/>
      <c r="S1" s="40"/>
      <c r="T1" s="40"/>
      <c r="U1" s="40"/>
      <c r="V1" s="40"/>
      <c r="W1" s="40"/>
      <c r="X1" s="40"/>
      <c r="Y1" s="40"/>
      <c r="Z1" s="40"/>
      <c r="AA1" s="40"/>
      <c r="AB1" s="40"/>
      <c r="AC1" s="39"/>
      <c r="AD1" s="39"/>
      <c r="AE1" s="39"/>
      <c r="AF1" s="39"/>
      <c r="AG1" s="41"/>
      <c r="AH1" s="39"/>
      <c r="AI1" s="39"/>
      <c r="AJ1" s="42"/>
      <c r="AK1" s="39"/>
      <c r="AL1" s="55" t="s">
        <v>71</v>
      </c>
      <c r="AM1" s="56">
        <f>CalendárioAnual</f>
        <v>2018</v>
      </c>
    </row>
    <row r="2" spans="1:39" customFormat="1" ht="13.5" x14ac:dyDescent="0.25"/>
    <row r="3" spans="1:39" s="30" customFormat="1" ht="12.75" customHeight="1" x14ac:dyDescent="0.25">
      <c r="C3" s="45" t="str">
        <f>TextoColorKey</f>
        <v xml:space="preserve">CHAVE DE CORES </v>
      </c>
      <c r="D3" s="49" t="str">
        <f>Código1</f>
        <v>T</v>
      </c>
      <c r="E3" s="64" t="str">
        <f>Código1Texto</f>
        <v>Atrasado</v>
      </c>
      <c r="F3" s="54"/>
      <c r="H3" s="50" t="str">
        <f>Código2</f>
        <v>E</v>
      </c>
      <c r="I3" s="54" t="str">
        <f>Código2Texto</f>
        <v>Justificado</v>
      </c>
      <c r="L3" s="51" t="str">
        <f>Código3</f>
        <v>U</v>
      </c>
      <c r="M3" s="54" t="str">
        <f>Código3Texto</f>
        <v>Não justificado</v>
      </c>
      <c r="P3" s="52" t="str">
        <f>Código4</f>
        <v>P</v>
      </c>
      <c r="Q3" s="54" t="str">
        <f>Código4Texto</f>
        <v>Presente</v>
      </c>
      <c r="T3" s="53" t="str">
        <f>Código5</f>
        <v>N</v>
      </c>
      <c r="U3" s="54" t="str">
        <f>Código5Texto</f>
        <v>Não há Escola</v>
      </c>
      <c r="W3"/>
      <c r="X3"/>
      <c r="Y3"/>
      <c r="AD3" s="29"/>
      <c r="AE3" s="29"/>
      <c r="AH3" s="31"/>
      <c r="AI3" s="32"/>
      <c r="AK3" s="33"/>
    </row>
    <row r="4" spans="1:39" customFormat="1" ht="16.5" customHeight="1" x14ac:dyDescent="0.25"/>
    <row r="5" spans="1:39" s="2" customFormat="1" ht="18" customHeight="1" x14ac:dyDescent="0.3">
      <c r="B5" s="58">
        <f>DATE(CalendárioAnual+1,5,1)</f>
        <v>43586</v>
      </c>
      <c r="C5" s="57"/>
      <c r="D5" s="43" t="str">
        <f>TEXT(WEEKDAY(DATE(CalendárioAnual+1,5,1),1),"ddd")</f>
        <v>qua</v>
      </c>
      <c r="E5" s="43" t="str">
        <f>TEXT(WEEKDAY(DATE(CalendárioAnual+1,5,2),1),"ddd")</f>
        <v>qui</v>
      </c>
      <c r="F5" s="43" t="str">
        <f>TEXT(WEEKDAY(DATE(CalendárioAnual+1,5,3),1),"ddd")</f>
        <v>sex</v>
      </c>
      <c r="G5" s="43" t="str">
        <f>TEXT(WEEKDAY(DATE(CalendárioAnual+1,5,4),1),"ddd")</f>
        <v>sáb</v>
      </c>
      <c r="H5" s="43" t="str">
        <f>TEXT(WEEKDAY(DATE(CalendárioAnual+1,5,5),1),"ddd")</f>
        <v>dom</v>
      </c>
      <c r="I5" s="43" t="str">
        <f>TEXT(WEEKDAY(DATE(CalendárioAnual+1,5,6),1),"ddd")</f>
        <v>seg</v>
      </c>
      <c r="J5" s="43" t="str">
        <f>TEXT(WEEKDAY(DATE(CalendárioAnual+1,5,7),1),"ddd")</f>
        <v>ter</v>
      </c>
      <c r="K5" s="43" t="str">
        <f>TEXT(WEEKDAY(DATE(CalendárioAnual+1,5,8),1),"ddd")</f>
        <v>qua</v>
      </c>
      <c r="L5" s="43" t="str">
        <f>TEXT(WEEKDAY(DATE(CalendárioAnual+1,5,9),1),"ddd")</f>
        <v>qui</v>
      </c>
      <c r="M5" s="43" t="str">
        <f>TEXT(WEEKDAY(DATE(CalendárioAnual+1,5,10),1),"ddd")</f>
        <v>sex</v>
      </c>
      <c r="N5" s="43" t="str">
        <f>TEXT(WEEKDAY(DATE(CalendárioAnual+1,5,11),1),"ddd")</f>
        <v>sáb</v>
      </c>
      <c r="O5" s="43" t="str">
        <f>TEXT(WEEKDAY(DATE(CalendárioAnual+1,5,12),1),"ddd")</f>
        <v>dom</v>
      </c>
      <c r="P5" s="43" t="str">
        <f>TEXT(WEEKDAY(DATE(CalendárioAnual+1,5,13),1),"ddd")</f>
        <v>seg</v>
      </c>
      <c r="Q5" s="43" t="str">
        <f>TEXT(WEEKDAY(DATE(CalendárioAnual+1,5,14),1),"ddd")</f>
        <v>ter</v>
      </c>
      <c r="R5" s="43" t="str">
        <f>TEXT(WEEKDAY(DATE(CalendárioAnual+1,5,15),1),"ddd")</f>
        <v>qua</v>
      </c>
      <c r="S5" s="43" t="str">
        <f>TEXT(WEEKDAY(DATE(CalendárioAnual+1,5,16),1),"ddd")</f>
        <v>qui</v>
      </c>
      <c r="T5" s="43" t="str">
        <f>TEXT(WEEKDAY(DATE(CalendárioAnual+1,5,17),1),"ddd")</f>
        <v>sex</v>
      </c>
      <c r="U5" s="43" t="str">
        <f>TEXT(WEEKDAY(DATE(CalendárioAnual+1,5,18),1),"ddd")</f>
        <v>sáb</v>
      </c>
      <c r="V5" s="43" t="str">
        <f>TEXT(WEEKDAY(DATE(CalendárioAnual+1,5,19),1),"ddd")</f>
        <v>dom</v>
      </c>
      <c r="W5" s="43" t="str">
        <f>TEXT(WEEKDAY(DATE(CalendárioAnual+1,5,20),1),"ddd")</f>
        <v>seg</v>
      </c>
      <c r="X5" s="43" t="str">
        <f>TEXT(WEEKDAY(DATE(CalendárioAnual+1,5,21),1),"ddd")</f>
        <v>ter</v>
      </c>
      <c r="Y5" s="43" t="str">
        <f>TEXT(WEEKDAY(DATE(CalendárioAnual+1,5,22),1),"ddd")</f>
        <v>qua</v>
      </c>
      <c r="Z5" s="43" t="str">
        <f>TEXT(WEEKDAY(DATE(CalendárioAnual+1,5,23),1),"ddd")</f>
        <v>qui</v>
      </c>
      <c r="AA5" s="43" t="str">
        <f>TEXT(WEEKDAY(DATE(CalendárioAnual+1,5,24),1),"ddd")</f>
        <v>sex</v>
      </c>
      <c r="AB5" s="43" t="str">
        <f>TEXT(WEEKDAY(DATE(CalendárioAnual+1,5,25),1),"ddd")</f>
        <v>sáb</v>
      </c>
      <c r="AC5" s="43" t="str">
        <f>TEXT(WEEKDAY(DATE(CalendárioAnual+1,5,26),1),"ddd")</f>
        <v>dom</v>
      </c>
      <c r="AD5" s="43" t="str">
        <f>TEXT(WEEKDAY(DATE(CalendárioAnual+1,5,27),1),"ddd")</f>
        <v>seg</v>
      </c>
      <c r="AE5" s="43" t="str">
        <f>TEXT(WEEKDAY(DATE(CalendárioAnual+1,5,28),1),"ddd")</f>
        <v>ter</v>
      </c>
      <c r="AF5" s="43" t="str">
        <f>TEXT(WEEKDAY(DATE(CalendárioAnual+1,5,29),1),"ddd")</f>
        <v>qua</v>
      </c>
      <c r="AG5" s="43" t="str">
        <f>TEXT(WEEKDAY(DATE(CalendárioAnual+1,5,30),1),"ddd")</f>
        <v>qui</v>
      </c>
      <c r="AH5" s="43" t="str">
        <f>TEXT(WEEKDAY(DATE(CalendárioAnual+1,5,31),1),"ddd")</f>
        <v>sex</v>
      </c>
      <c r="AI5" s="119" t="s">
        <v>40</v>
      </c>
      <c r="AJ5" s="119"/>
      <c r="AK5" s="119"/>
      <c r="AL5" s="119"/>
      <c r="AM5" s="119"/>
    </row>
    <row r="6" spans="1:39" ht="14.25" customHeight="1" x14ac:dyDescent="0.25">
      <c r="B6" s="26" t="s">
        <v>34</v>
      </c>
      <c r="C6" s="27" t="s">
        <v>35</v>
      </c>
      <c r="D6" s="28" t="s">
        <v>0</v>
      </c>
      <c r="E6" s="28" t="s">
        <v>1</v>
      </c>
      <c r="F6" s="28" t="s">
        <v>2</v>
      </c>
      <c r="G6" s="28" t="s">
        <v>3</v>
      </c>
      <c r="H6" s="28" t="s">
        <v>4</v>
      </c>
      <c r="I6" s="28" t="s">
        <v>5</v>
      </c>
      <c r="J6" s="28" t="s">
        <v>6</v>
      </c>
      <c r="K6" s="28" t="s">
        <v>7</v>
      </c>
      <c r="L6" s="28" t="s">
        <v>8</v>
      </c>
      <c r="M6" s="28" t="s">
        <v>9</v>
      </c>
      <c r="N6" s="28" t="s">
        <v>10</v>
      </c>
      <c r="O6" s="28" t="s">
        <v>11</v>
      </c>
      <c r="P6" s="28" t="s">
        <v>12</v>
      </c>
      <c r="Q6" s="28" t="s">
        <v>13</v>
      </c>
      <c r="R6" s="28" t="s">
        <v>14</v>
      </c>
      <c r="S6" s="28" t="s">
        <v>15</v>
      </c>
      <c r="T6" s="28" t="s">
        <v>16</v>
      </c>
      <c r="U6" s="28" t="s">
        <v>17</v>
      </c>
      <c r="V6" s="28" t="s">
        <v>18</v>
      </c>
      <c r="W6" s="28" t="s">
        <v>19</v>
      </c>
      <c r="X6" s="28" t="s">
        <v>20</v>
      </c>
      <c r="Y6" s="28" t="s">
        <v>21</v>
      </c>
      <c r="Z6" s="28" t="s">
        <v>22</v>
      </c>
      <c r="AA6" s="28" t="s">
        <v>23</v>
      </c>
      <c r="AB6" s="28" t="s">
        <v>24</v>
      </c>
      <c r="AC6" s="28" t="s">
        <v>25</v>
      </c>
      <c r="AD6" s="28" t="s">
        <v>26</v>
      </c>
      <c r="AE6" s="28" t="s">
        <v>27</v>
      </c>
      <c r="AF6" s="28" t="s">
        <v>28</v>
      </c>
      <c r="AG6" s="28" t="s">
        <v>29</v>
      </c>
      <c r="AH6" s="28" t="s">
        <v>30</v>
      </c>
      <c r="AI6" s="68" t="s">
        <v>36</v>
      </c>
      <c r="AJ6" s="37" t="s">
        <v>38</v>
      </c>
      <c r="AK6" s="36" t="s">
        <v>37</v>
      </c>
      <c r="AL6" s="34" t="s">
        <v>31</v>
      </c>
      <c r="AM6" t="s">
        <v>39</v>
      </c>
    </row>
    <row r="7" spans="1:39" ht="16.5" customHeight="1" x14ac:dyDescent="0.25">
      <c r="B7" s="25"/>
      <c r="C7" s="20" t="str">
        <f>IFERROR(VLOOKUP(PresençasEmMaio[[#This Row],[ID de Estudante]],ListaDeAlunos[],18,FALSE),"")</f>
        <v/>
      </c>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4"/>
      <c r="AG7" s="3"/>
      <c r="AH7" s="3"/>
      <c r="AI7" s="35">
        <f>COUNTIF(PresençasEmMaio[[#This Row],[1]:[31]],Código1)</f>
        <v>0</v>
      </c>
      <c r="AJ7" s="35">
        <f>COUNTIF(PresençasEmMaio[[#This Row],[1]:[31]],Código2)</f>
        <v>0</v>
      </c>
      <c r="AK7" s="35">
        <f>COUNTIF(PresençasEmMaio[[#This Row],[1]:[31]],Código3)</f>
        <v>0</v>
      </c>
      <c r="AL7" s="35">
        <f>COUNTIF(PresençasEmMaio[[#This Row],[1]:[31]],Código4)</f>
        <v>0</v>
      </c>
      <c r="AM7" s="7">
        <f>SUM(PresençasEmMaio[[#This Row],[E]:[U]])</f>
        <v>0</v>
      </c>
    </row>
    <row r="8" spans="1:39" ht="16.5" customHeight="1" x14ac:dyDescent="0.25">
      <c r="B8" s="25"/>
      <c r="C8" s="21" t="str">
        <f>IFERROR(VLOOKUP(PresençasEmMaio[[#This Row],[ID de Estudante]],ListaDeAlunos[],18,FALSE),"")</f>
        <v/>
      </c>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4"/>
      <c r="AG8" s="3"/>
      <c r="AH8" s="3"/>
      <c r="AI8" s="35">
        <f>COUNTIF(PresençasEmMaio[[#This Row],[1]:[31]],Código1)</f>
        <v>0</v>
      </c>
      <c r="AJ8" s="35">
        <f>COUNTIF(PresençasEmMaio[[#This Row],[1]:[31]],Código2)</f>
        <v>0</v>
      </c>
      <c r="AK8" s="35">
        <f>COUNTIF(PresençasEmMaio[[#This Row],[1]:[31]],Código3)</f>
        <v>0</v>
      </c>
      <c r="AL8" s="35">
        <f>COUNTIF(PresençasEmMaio[[#This Row],[1]:[31]],Código4)</f>
        <v>0</v>
      </c>
      <c r="AM8" s="7">
        <f>SUM(PresençasEmMaio[[#This Row],[E]:[U]])</f>
        <v>0</v>
      </c>
    </row>
    <row r="9" spans="1:39" ht="16.5" customHeight="1" x14ac:dyDescent="0.25">
      <c r="B9" s="25"/>
      <c r="C9" s="21" t="str">
        <f>IFERROR(VLOOKUP(PresençasEmMaio[[#This Row],[ID de Estudante]],ListaDeAlunos[],18,FALSE),"")</f>
        <v/>
      </c>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4"/>
      <c r="AG9" s="3"/>
      <c r="AH9" s="3"/>
      <c r="AI9" s="35">
        <f>COUNTIF(PresençasEmMaio[[#This Row],[1]:[31]],Código1)</f>
        <v>0</v>
      </c>
      <c r="AJ9" s="35">
        <f>COUNTIF(PresençasEmMaio[[#This Row],[1]:[31]],Código2)</f>
        <v>0</v>
      </c>
      <c r="AK9" s="35">
        <f>COUNTIF(PresençasEmMaio[[#This Row],[1]:[31]],Código3)</f>
        <v>0</v>
      </c>
      <c r="AL9" s="35">
        <f>COUNTIF(PresençasEmMaio[[#This Row],[1]:[31]],Código4)</f>
        <v>0</v>
      </c>
      <c r="AM9" s="7">
        <f>SUM(PresençasEmMaio[[#This Row],[E]:[U]])</f>
        <v>0</v>
      </c>
    </row>
    <row r="10" spans="1:39" ht="16.5" customHeight="1" x14ac:dyDescent="0.25">
      <c r="B10" s="25"/>
      <c r="C10" s="21" t="str">
        <f>IFERROR(VLOOKUP(PresençasEmMaio[[#This Row],[ID de Estudante]],ListaDeAlunos[],18,FALSE),"")</f>
        <v/>
      </c>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4"/>
      <c r="AG10" s="3"/>
      <c r="AH10" s="3"/>
      <c r="AI10" s="35">
        <f>COUNTIF(PresençasEmMaio[[#This Row],[1]:[31]],Código1)</f>
        <v>0</v>
      </c>
      <c r="AJ10" s="35">
        <f>COUNTIF(PresençasEmMaio[[#This Row],[1]:[31]],Código2)</f>
        <v>0</v>
      </c>
      <c r="AK10" s="35">
        <f>COUNTIF(PresençasEmMaio[[#This Row],[1]:[31]],Código3)</f>
        <v>0</v>
      </c>
      <c r="AL10" s="35">
        <f>COUNTIF(PresençasEmMaio[[#This Row],[1]:[31]],Código4)</f>
        <v>0</v>
      </c>
      <c r="AM10" s="7">
        <f>SUM(PresençasEmMaio[[#This Row],[E]:[U]])</f>
        <v>0</v>
      </c>
    </row>
    <row r="11" spans="1:39" ht="16.5" customHeight="1" x14ac:dyDescent="0.25">
      <c r="B11" s="25"/>
      <c r="C11" s="21" t="str">
        <f>IFERROR(VLOOKUP(PresençasEmMaio[[#This Row],[ID de Estudante]],ListaDeAlunos[],18,FALSE),"")</f>
        <v/>
      </c>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4"/>
      <c r="AG11" s="3"/>
      <c r="AH11" s="3"/>
      <c r="AI11" s="35">
        <f>COUNTIF(PresençasEmMaio[[#This Row],[1]:[31]],Código1)</f>
        <v>0</v>
      </c>
      <c r="AJ11" s="35">
        <f>COUNTIF(PresençasEmMaio[[#This Row],[1]:[31]],Código2)</f>
        <v>0</v>
      </c>
      <c r="AK11" s="35">
        <f>COUNTIF(PresençasEmMaio[[#This Row],[1]:[31]],Código3)</f>
        <v>0</v>
      </c>
      <c r="AL11" s="35">
        <f>COUNTIF(PresençasEmMaio[[#This Row],[1]:[31]],Código4)</f>
        <v>0</v>
      </c>
      <c r="AM11" s="7">
        <f>SUM(PresençasEmMaio[[#This Row],[E]:[U]])</f>
        <v>0</v>
      </c>
    </row>
    <row r="12" spans="1:39" ht="16.5" customHeight="1" x14ac:dyDescent="0.25">
      <c r="B12" s="106"/>
      <c r="C12" s="107" t="s">
        <v>113</v>
      </c>
      <c r="D12" s="108">
        <f>COUNTIF(PresençasEmMaio[1],"U")+COUNTIF(PresençasEmMaio[1],"E")</f>
        <v>0</v>
      </c>
      <c r="E12" s="108">
        <f>COUNTIF(PresençasEmMaio[2],"U")+COUNTIF(PresençasEmMaio[2],"E")</f>
        <v>0</v>
      </c>
      <c r="F12" s="108">
        <f>COUNTIF(PresençasEmMaio[3],"U")+COUNTIF(PresençasEmMaio[3],"E")</f>
        <v>0</v>
      </c>
      <c r="G12" s="108">
        <f>COUNTIF(PresençasEmMaio[4],"U")+COUNTIF(PresençasEmMaio[4],"E")</f>
        <v>0</v>
      </c>
      <c r="H12" s="108">
        <f>COUNTIF(PresençasEmMaio[5],"U")+COUNTIF(PresençasEmMaio[5],"E")</f>
        <v>0</v>
      </c>
      <c r="I12" s="108">
        <f>COUNTIF(PresençasEmMaio[6],"U")+COUNTIF(PresençasEmMaio[6],"E")</f>
        <v>0</v>
      </c>
      <c r="J12" s="108">
        <f>COUNTIF(PresençasEmMaio[7],"U")+COUNTIF(PresençasEmMaio[7],"E")</f>
        <v>0</v>
      </c>
      <c r="K12" s="108">
        <f>COUNTIF(PresençasEmMaio[8],"U")+COUNTIF(PresençasEmMaio[8],"E")</f>
        <v>0</v>
      </c>
      <c r="L12" s="108">
        <f>COUNTIF(PresençasEmMaio[9],"U")+COUNTIF(PresençasEmMaio[9],"E")</f>
        <v>0</v>
      </c>
      <c r="M12" s="108">
        <f>COUNTIF(PresençasEmMaio[10],"U")+COUNTIF(PresençasEmMaio[10],"E")</f>
        <v>0</v>
      </c>
      <c r="N12" s="108">
        <f>COUNTIF(PresençasEmMaio[11],"U")+COUNTIF(PresençasEmMaio[11],"E")</f>
        <v>0</v>
      </c>
      <c r="O12" s="108">
        <f>COUNTIF(PresençasEmMaio[12],"U")+COUNTIF(PresençasEmMaio[12],"E")</f>
        <v>0</v>
      </c>
      <c r="P12" s="108">
        <f>COUNTIF(PresençasEmMaio[13],"U")+COUNTIF(PresençasEmMaio[13],"E")</f>
        <v>0</v>
      </c>
      <c r="Q12" s="108">
        <f>COUNTIF(PresençasEmMaio[14],"U")+COUNTIF(PresençasEmMaio[14],"E")</f>
        <v>0</v>
      </c>
      <c r="R12" s="108">
        <f>COUNTIF(PresençasEmMaio[15],"U")+COUNTIF(PresençasEmMaio[15],"E")</f>
        <v>0</v>
      </c>
      <c r="S12" s="108">
        <f>COUNTIF(PresençasEmMaio[16],"U")+COUNTIF(PresençasEmMaio[16],"E")</f>
        <v>0</v>
      </c>
      <c r="T12" s="108">
        <f>COUNTIF(PresençasEmMaio[17],"U")+COUNTIF(PresençasEmMaio[17],"E")</f>
        <v>0</v>
      </c>
      <c r="U12" s="108">
        <f>COUNTIF(PresençasEmMaio[18],"U")+COUNTIF(PresençasEmMaio[18],"E")</f>
        <v>0</v>
      </c>
      <c r="V12" s="108">
        <f>COUNTIF(PresençasEmMaio[19],"U")+COUNTIF(PresençasEmMaio[19],"E")</f>
        <v>0</v>
      </c>
      <c r="W12" s="108">
        <f>COUNTIF(PresençasEmMaio[20],"U")+COUNTIF(PresençasEmMaio[20],"E")</f>
        <v>0</v>
      </c>
      <c r="X12" s="108">
        <f>COUNTIF(PresençasEmMaio[21],"U")+COUNTIF(PresençasEmMaio[21],"E")</f>
        <v>0</v>
      </c>
      <c r="Y12" s="108">
        <f>COUNTIF(PresençasEmMaio[22],"U")+COUNTIF(PresençasEmMaio[22],"E")</f>
        <v>0</v>
      </c>
      <c r="Z12" s="108">
        <f>COUNTIF(PresençasEmMaio[23],"U")+COUNTIF(PresençasEmMaio[23],"E")</f>
        <v>0</v>
      </c>
      <c r="AA12" s="108">
        <f>COUNTIF(PresençasEmMaio[24],"U")+COUNTIF(PresençasEmMaio[24],"E")</f>
        <v>0</v>
      </c>
      <c r="AB12" s="108">
        <f>COUNTIF(PresençasEmMaio[25],"U")+COUNTIF(PresençasEmMaio[25],"E")</f>
        <v>0</v>
      </c>
      <c r="AC12" s="108">
        <f>COUNTIF(PresençasEmMaio[26],"U")+COUNTIF(PresençasEmMaio[26],"E")</f>
        <v>0</v>
      </c>
      <c r="AD12" s="108">
        <f>COUNTIF(PresençasEmMaio[27],"U")+COUNTIF(PresençasEmMaio[27],"E")</f>
        <v>0</v>
      </c>
      <c r="AE12" s="108">
        <f>COUNTIF(PresençasEmMaio[28],"U")+COUNTIF(PresençasEmMaio[28],"E")</f>
        <v>0</v>
      </c>
      <c r="AF12" s="108">
        <f>COUNTIF(PresençasEmMaio[29],"U")+COUNTIF(PresençasEmMaio[29],"E")</f>
        <v>0</v>
      </c>
      <c r="AG12" s="108"/>
      <c r="AH12" s="108"/>
      <c r="AI12" s="108">
        <f>SUBTOTAL(109,PresençasEmMaio[T])</f>
        <v>0</v>
      </c>
      <c r="AJ12" s="108">
        <f>SUBTOTAL(109,PresençasEmMaio[E])</f>
        <v>0</v>
      </c>
      <c r="AK12" s="108">
        <f>SUBTOTAL(109,PresençasEmMaio[U])</f>
        <v>0</v>
      </c>
      <c r="AL12" s="108">
        <f>SUBTOTAL(109,PresençasEmMaio[P])</f>
        <v>0</v>
      </c>
      <c r="AM12" s="108">
        <f>SUBTOTAL(109,PresençasEmMaio[Dias de Ausência])</f>
        <v>0</v>
      </c>
    </row>
    <row r="13" spans="1:39" ht="16.5" customHeight="1" x14ac:dyDescent="0.25"/>
    <row r="14" spans="1:39" ht="16.5" customHeight="1" x14ac:dyDescent="0.25"/>
    <row r="15" spans="1:39" ht="16.5" customHeight="1" x14ac:dyDescent="0.25"/>
    <row r="16" spans="1:39"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sheetData>
  <sheetProtection formatCells="0" formatColumns="0" formatRows="0" insertColumns="0" insertRows="0" insertHyperlinks="0" deleteColumns="0" deleteRows="0" sort="0" autoFilter="0" pivotTables="0"/>
  <mergeCells count="1">
    <mergeCell ref="AI5:AM5"/>
  </mergeCells>
  <conditionalFormatting sqref="AM7:AM11">
    <cfRule type="dataBar" priority="1">
      <dataBar>
        <cfvo type="min"/>
        <cfvo type="num" val="DATEDIF(DATE(CalendárioAnual,2,1),DATE(CalendárioAnual,3,1),&quot;d&quot;)"/>
        <color theme="4"/>
      </dataBar>
      <extLst>
        <ext xmlns:x14="http://schemas.microsoft.com/office/spreadsheetml/2009/9/main" uri="{B025F937-C7B1-47D3-B67F-A62EFF666E3E}">
          <x14:id>{075C44B9-B707-434A-A9F0-95252D34B3EF}</x14:id>
        </ext>
      </extLst>
    </cfRule>
  </conditionalFormatting>
  <conditionalFormatting sqref="D7:AF11">
    <cfRule type="expression" dxfId="292" priority="2" stopIfTrue="1">
      <formula>D7=Código2</formula>
    </cfRule>
  </conditionalFormatting>
  <conditionalFormatting sqref="D7:AF11">
    <cfRule type="expression" dxfId="291" priority="3" stopIfTrue="1">
      <formula>D7=Código5</formula>
    </cfRule>
    <cfRule type="expression" dxfId="290" priority="4" stopIfTrue="1">
      <formula>D7=Código4</formula>
    </cfRule>
    <cfRule type="expression" dxfId="289" priority="5" stopIfTrue="1">
      <formula>D7=Código3</formula>
    </cfRule>
    <cfRule type="expression" dxfId="288" priority="6" stopIfTrue="1">
      <formula>D7=Código1</formula>
    </cfRule>
  </conditionalFormatting>
  <dataValidations count="1">
    <dataValidation type="list" errorStyle="warning" allowBlank="1" showInputMessage="1" showErrorMessage="1" errorTitle="Ups!" error="O ID de Estudante que introduziu não está na folha Lista de Estudantes. Pode clicar em Sim para usar os dados que introduziu, mas esse ID de Estudante não estará disponível na folha Relatório de Presenças dos Estudantes." sqref="B7:B11" xr:uid="{00000000-0002-0000-0B00-000000000000}">
      <formula1>IDDeAluno</formula1>
    </dataValidation>
  </dataValidations>
  <printOptions horizontalCentered="1"/>
  <pageMargins left="0.5" right="0.5" top="0.75" bottom="0.75" header="0.3" footer="0.3"/>
  <pageSetup paperSize="9" scale="58" fitToHeight="0" orientation="landscape" verticalDpi="12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075C44B9-B707-434A-A9F0-95252D34B3EF}">
            <x14:dataBar minLength="0" maxLength="100" border="1" negativeBarBorderColorSameAsPositive="0">
              <x14:cfvo type="autoMin"/>
              <x14:cfvo type="num">
                <xm:f>DATEDIF(DATE(CalendárioAnual,2,1),DATE(CalendárioAnual,3,1),"d")</xm:f>
              </x14:cfvo>
              <x14:borderColor theme="4"/>
              <x14:negativeFillColor rgb="FFFF0000"/>
              <x14:negativeBorderColor rgb="FFFF0000"/>
              <x14:axisColor rgb="FF000000"/>
            </x14:dataBar>
          </x14:cfRule>
          <xm:sqref>AM7:AM11</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59999389629810485"/>
    <pageSetUpPr fitToPage="1"/>
  </sheetPr>
  <dimension ref="A1:AM264"/>
  <sheetViews>
    <sheetView showGridLines="0" zoomScaleNormal="100" workbookViewId="0">
      <pane xSplit="3" ySplit="6" topLeftCell="D7" activePane="bottomRight" state="frozen"/>
      <selection pane="topRight"/>
      <selection pane="bottomLeft"/>
      <selection pane="bottomRight"/>
    </sheetView>
  </sheetViews>
  <sheetFormatPr defaultRowHeight="15" customHeight="1" x14ac:dyDescent="0.25"/>
  <cols>
    <col min="1" max="1" width="2.7109375" style="11" customWidth="1"/>
    <col min="2" max="2" width="15.7109375" style="11" bestFit="1" customWidth="1"/>
    <col min="3" max="3" width="28.85546875" style="12" customWidth="1"/>
    <col min="4" max="34" width="5" style="10" customWidth="1"/>
    <col min="35" max="35" width="4.7109375" style="9" customWidth="1"/>
    <col min="36" max="36" width="4.7109375" style="10" customWidth="1"/>
    <col min="37" max="38" width="4.7109375" style="11" customWidth="1"/>
    <col min="39" max="39" width="16.85546875" style="11" bestFit="1" customWidth="1"/>
    <col min="40" max="16384" width="9.140625" style="11"/>
  </cols>
  <sheetData>
    <row r="1" spans="1:39" s="1" customFormat="1" ht="42" customHeight="1" x14ac:dyDescent="0.25">
      <c r="A1" s="38" t="s">
        <v>88</v>
      </c>
      <c r="B1" s="39"/>
      <c r="C1" s="39"/>
      <c r="D1" s="40"/>
      <c r="E1" s="40"/>
      <c r="F1" s="40"/>
      <c r="G1" s="40"/>
      <c r="H1" s="40"/>
      <c r="I1" s="40"/>
      <c r="J1" s="40"/>
      <c r="K1" s="40"/>
      <c r="L1" s="40"/>
      <c r="M1" s="40"/>
      <c r="N1" s="40"/>
      <c r="O1" s="40"/>
      <c r="P1" s="40"/>
      <c r="Q1" s="40"/>
      <c r="R1" s="40"/>
      <c r="S1" s="40"/>
      <c r="T1" s="40"/>
      <c r="U1" s="40"/>
      <c r="V1" s="40"/>
      <c r="W1" s="40"/>
      <c r="X1" s="40"/>
      <c r="Y1" s="40"/>
      <c r="Z1" s="40"/>
      <c r="AA1" s="40"/>
      <c r="AB1" s="40"/>
      <c r="AC1" s="39"/>
      <c r="AD1" s="39"/>
      <c r="AE1" s="39"/>
      <c r="AF1" s="39"/>
      <c r="AG1" s="41"/>
      <c r="AH1" s="39"/>
      <c r="AI1" s="39"/>
      <c r="AJ1" s="42"/>
      <c r="AK1" s="39"/>
      <c r="AL1" s="55" t="s">
        <v>71</v>
      </c>
      <c r="AM1" s="56">
        <f>CalendárioAnual</f>
        <v>2018</v>
      </c>
    </row>
    <row r="2" spans="1:39" customFormat="1" ht="13.5" x14ac:dyDescent="0.25"/>
    <row r="3" spans="1:39" s="30" customFormat="1" ht="12.75" customHeight="1" x14ac:dyDescent="0.25">
      <c r="C3" s="45" t="str">
        <f>TextoColorKey</f>
        <v xml:space="preserve">CHAVE DE CORES </v>
      </c>
      <c r="D3" s="49" t="str">
        <f>Código1</f>
        <v>T</v>
      </c>
      <c r="E3" s="64" t="str">
        <f>Código1Texto</f>
        <v>Atrasado</v>
      </c>
      <c r="F3" s="54"/>
      <c r="H3" s="50" t="str">
        <f>Código2</f>
        <v>E</v>
      </c>
      <c r="I3" s="54" t="str">
        <f>Código2Texto</f>
        <v>Justificado</v>
      </c>
      <c r="L3" s="51" t="str">
        <f>Código3</f>
        <v>U</v>
      </c>
      <c r="M3" s="54" t="str">
        <f>Código3Texto</f>
        <v>Não justificado</v>
      </c>
      <c r="P3" s="52" t="str">
        <f>Código4</f>
        <v>P</v>
      </c>
      <c r="Q3" s="54" t="str">
        <f>Código4Texto</f>
        <v>Presente</v>
      </c>
      <c r="T3" s="53" t="str">
        <f>Código5</f>
        <v>N</v>
      </c>
      <c r="U3" s="54" t="str">
        <f>Código5Texto</f>
        <v>Não há Escola</v>
      </c>
      <c r="W3"/>
      <c r="X3"/>
      <c r="Y3"/>
      <c r="AD3" s="29"/>
      <c r="AE3" s="29"/>
      <c r="AH3" s="31"/>
      <c r="AI3" s="32"/>
      <c r="AK3" s="33"/>
    </row>
    <row r="4" spans="1:39" customFormat="1" ht="16.5" customHeight="1" x14ac:dyDescent="0.25"/>
    <row r="5" spans="1:39" s="2" customFormat="1" ht="18" customHeight="1" x14ac:dyDescent="0.3">
      <c r="B5" s="58">
        <f>DATE(CalendárioAnual+1,6,1)</f>
        <v>43617</v>
      </c>
      <c r="C5" s="57"/>
      <c r="D5" s="43" t="str">
        <f>TEXT(WEEKDAY(DATE(CalendárioAnual+1,6,1),1),"ddd")</f>
        <v>sáb</v>
      </c>
      <c r="E5" s="43" t="str">
        <f>TEXT(WEEKDAY(DATE(CalendárioAnual+1,6,2),1),"ddd")</f>
        <v>dom</v>
      </c>
      <c r="F5" s="43" t="str">
        <f>TEXT(WEEKDAY(DATE(CalendárioAnual+1,6,3),1),"ddd")</f>
        <v>seg</v>
      </c>
      <c r="G5" s="43" t="str">
        <f>TEXT(WEEKDAY(DATE(CalendárioAnual+1,6,4),1),"ddd")</f>
        <v>ter</v>
      </c>
      <c r="H5" s="43" t="str">
        <f>TEXT(WEEKDAY(DATE(CalendárioAnual+1,6,5),1),"ddd")</f>
        <v>qua</v>
      </c>
      <c r="I5" s="43" t="str">
        <f>TEXT(WEEKDAY(DATE(CalendárioAnual+1,6,6),1),"ddd")</f>
        <v>qui</v>
      </c>
      <c r="J5" s="43" t="str">
        <f>TEXT(WEEKDAY(DATE(CalendárioAnual+1,6,7),1),"ddd")</f>
        <v>sex</v>
      </c>
      <c r="K5" s="43" t="str">
        <f>TEXT(WEEKDAY(DATE(CalendárioAnual+1,6,8),1),"ddd")</f>
        <v>sáb</v>
      </c>
      <c r="L5" s="43" t="str">
        <f>TEXT(WEEKDAY(DATE(CalendárioAnual+1,6,9),1),"ddd")</f>
        <v>dom</v>
      </c>
      <c r="M5" s="43" t="str">
        <f>TEXT(WEEKDAY(DATE(CalendárioAnual+1,6,10),1),"ddd")</f>
        <v>seg</v>
      </c>
      <c r="N5" s="43" t="str">
        <f>TEXT(WEEKDAY(DATE(CalendárioAnual+1,6,11),1),"ddd")</f>
        <v>ter</v>
      </c>
      <c r="O5" s="43" t="str">
        <f>TEXT(WEEKDAY(DATE(CalendárioAnual+1,6,12),1),"ddd")</f>
        <v>qua</v>
      </c>
      <c r="P5" s="43" t="str">
        <f>TEXT(WEEKDAY(DATE(CalendárioAnual+1,6,13),1),"ddd")</f>
        <v>qui</v>
      </c>
      <c r="Q5" s="43" t="str">
        <f>TEXT(WEEKDAY(DATE(CalendárioAnual+1,6,14),1),"ddd")</f>
        <v>sex</v>
      </c>
      <c r="R5" s="43" t="str">
        <f>TEXT(WEEKDAY(DATE(CalendárioAnual+1,6,15),1),"ddd")</f>
        <v>sáb</v>
      </c>
      <c r="S5" s="43" t="str">
        <f>TEXT(WEEKDAY(DATE(CalendárioAnual+1,6,16),1),"ddd")</f>
        <v>dom</v>
      </c>
      <c r="T5" s="43" t="str">
        <f>TEXT(WEEKDAY(DATE(CalendárioAnual+1,6,17),1),"ddd")</f>
        <v>seg</v>
      </c>
      <c r="U5" s="43" t="str">
        <f>TEXT(WEEKDAY(DATE(CalendárioAnual+1,6,18),1),"ddd")</f>
        <v>ter</v>
      </c>
      <c r="V5" s="43" t="str">
        <f>TEXT(WEEKDAY(DATE(CalendárioAnual+1,6,19),1),"ddd")</f>
        <v>qua</v>
      </c>
      <c r="W5" s="43" t="str">
        <f>TEXT(WEEKDAY(DATE(CalendárioAnual+1,6,20),1),"ddd")</f>
        <v>qui</v>
      </c>
      <c r="X5" s="43" t="str">
        <f>TEXT(WEEKDAY(DATE(CalendárioAnual+1,6,21),1),"ddd")</f>
        <v>sex</v>
      </c>
      <c r="Y5" s="43" t="str">
        <f>TEXT(WEEKDAY(DATE(CalendárioAnual+1,6,22),1),"ddd")</f>
        <v>sáb</v>
      </c>
      <c r="Z5" s="43" t="str">
        <f>TEXT(WEEKDAY(DATE(CalendárioAnual+1,6,23),1),"ddd")</f>
        <v>dom</v>
      </c>
      <c r="AA5" s="43" t="str">
        <f>TEXT(WEEKDAY(DATE(CalendárioAnual+1,6,24),1),"ddd")</f>
        <v>seg</v>
      </c>
      <c r="AB5" s="43" t="str">
        <f>TEXT(WEEKDAY(DATE(CalendárioAnual+1,6,25),1),"ddd")</f>
        <v>ter</v>
      </c>
      <c r="AC5" s="43" t="str">
        <f>TEXT(WEEKDAY(DATE(CalendárioAnual+1,6,26),1),"ddd")</f>
        <v>qua</v>
      </c>
      <c r="AD5" s="43" t="str">
        <f>TEXT(WEEKDAY(DATE(CalendárioAnual+1,6,27),1),"ddd")</f>
        <v>qui</v>
      </c>
      <c r="AE5" s="43" t="str">
        <f>TEXT(WEEKDAY(DATE(CalendárioAnual+1,6,28),1),"ddd")</f>
        <v>sex</v>
      </c>
      <c r="AF5" s="43" t="str">
        <f>TEXT(WEEKDAY(DATE(CalendárioAnual+1,6,29),1),"ddd")</f>
        <v>sáb</v>
      </c>
      <c r="AG5" s="43" t="str">
        <f>TEXT(WEEKDAY(DATE(CalendárioAnual+1,6,30),1),"ddd")</f>
        <v>dom</v>
      </c>
      <c r="AH5" s="43"/>
      <c r="AI5" s="119" t="s">
        <v>40</v>
      </c>
      <c r="AJ5" s="119"/>
      <c r="AK5" s="119"/>
      <c r="AL5" s="119"/>
      <c r="AM5" s="119"/>
    </row>
    <row r="6" spans="1:39" ht="14.25" customHeight="1" x14ac:dyDescent="0.25">
      <c r="B6" s="26" t="s">
        <v>34</v>
      </c>
      <c r="C6" s="27" t="s">
        <v>35</v>
      </c>
      <c r="D6" s="28" t="s">
        <v>0</v>
      </c>
      <c r="E6" s="28" t="s">
        <v>1</v>
      </c>
      <c r="F6" s="28" t="s">
        <v>2</v>
      </c>
      <c r="G6" s="28" t="s">
        <v>3</v>
      </c>
      <c r="H6" s="28" t="s">
        <v>4</v>
      </c>
      <c r="I6" s="28" t="s">
        <v>5</v>
      </c>
      <c r="J6" s="28" t="s">
        <v>6</v>
      </c>
      <c r="K6" s="28" t="s">
        <v>7</v>
      </c>
      <c r="L6" s="28" t="s">
        <v>8</v>
      </c>
      <c r="M6" s="28" t="s">
        <v>9</v>
      </c>
      <c r="N6" s="28" t="s">
        <v>10</v>
      </c>
      <c r="O6" s="28" t="s">
        <v>11</v>
      </c>
      <c r="P6" s="28" t="s">
        <v>12</v>
      </c>
      <c r="Q6" s="28" t="s">
        <v>13</v>
      </c>
      <c r="R6" s="28" t="s">
        <v>14</v>
      </c>
      <c r="S6" s="28" t="s">
        <v>15</v>
      </c>
      <c r="T6" s="28" t="s">
        <v>16</v>
      </c>
      <c r="U6" s="28" t="s">
        <v>17</v>
      </c>
      <c r="V6" s="28" t="s">
        <v>18</v>
      </c>
      <c r="W6" s="28" t="s">
        <v>19</v>
      </c>
      <c r="X6" s="28" t="s">
        <v>20</v>
      </c>
      <c r="Y6" s="28" t="s">
        <v>21</v>
      </c>
      <c r="Z6" s="28" t="s">
        <v>22</v>
      </c>
      <c r="AA6" s="28" t="s">
        <v>23</v>
      </c>
      <c r="AB6" s="28" t="s">
        <v>24</v>
      </c>
      <c r="AC6" s="28" t="s">
        <v>25</v>
      </c>
      <c r="AD6" s="28" t="s">
        <v>26</v>
      </c>
      <c r="AE6" s="28" t="s">
        <v>27</v>
      </c>
      <c r="AF6" s="28" t="s">
        <v>28</v>
      </c>
      <c r="AG6" s="28" t="s">
        <v>29</v>
      </c>
      <c r="AH6" s="28" t="s">
        <v>112</v>
      </c>
      <c r="AI6" s="68" t="s">
        <v>36</v>
      </c>
      <c r="AJ6" s="37" t="s">
        <v>38</v>
      </c>
      <c r="AK6" s="36" t="s">
        <v>37</v>
      </c>
      <c r="AL6" s="34" t="s">
        <v>31</v>
      </c>
      <c r="AM6" t="s">
        <v>39</v>
      </c>
    </row>
    <row r="7" spans="1:39" ht="16.5" customHeight="1" x14ac:dyDescent="0.25">
      <c r="B7" s="25"/>
      <c r="C7" s="20" t="str">
        <f>IFERROR(VLOOKUP(PresençasEmJunho[[#This Row],[ID de Estudante]],ListaDeAlunos[],18,FALSE),"")</f>
        <v/>
      </c>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4"/>
      <c r="AG7" s="3"/>
      <c r="AH7" s="3"/>
      <c r="AI7" s="35">
        <f>COUNTIF(PresençasEmJunho[[#This Row],[1]:[ ]],Código1)</f>
        <v>0</v>
      </c>
      <c r="AJ7" s="35">
        <f>COUNTIF(PresençasEmJunho[[#This Row],[1]:[ ]],Código2)</f>
        <v>0</v>
      </c>
      <c r="AK7" s="35">
        <f>COUNTIF(PresençasEmJunho[[#This Row],[1]:[ ]],Código3)</f>
        <v>0</v>
      </c>
      <c r="AL7" s="35">
        <f>COUNTIF(PresençasEmJunho[[#This Row],[1]:[ ]],Código4)</f>
        <v>0</v>
      </c>
      <c r="AM7" s="7">
        <f>SUM(PresençasEmJunho[[#This Row],[E]:[U]])</f>
        <v>0</v>
      </c>
    </row>
    <row r="8" spans="1:39" ht="16.5" customHeight="1" x14ac:dyDescent="0.25">
      <c r="B8" s="25"/>
      <c r="C8" s="21" t="str">
        <f>IFERROR(VLOOKUP(PresençasEmJunho[[#This Row],[ID de Estudante]],ListaDeAlunos[],18,FALSE),"")</f>
        <v/>
      </c>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4"/>
      <c r="AG8" s="3"/>
      <c r="AH8" s="3"/>
      <c r="AI8" s="35">
        <f>COUNTIF(PresençasEmJunho[[#This Row],[1]:[ ]],Código1)</f>
        <v>0</v>
      </c>
      <c r="AJ8" s="35">
        <f>COUNTIF(PresençasEmJunho[[#This Row],[1]:[ ]],Código2)</f>
        <v>0</v>
      </c>
      <c r="AK8" s="35">
        <f>COUNTIF(PresençasEmJunho[[#This Row],[1]:[ ]],Código3)</f>
        <v>0</v>
      </c>
      <c r="AL8" s="35">
        <f>COUNTIF(PresençasEmJunho[[#This Row],[1]:[ ]],Código4)</f>
        <v>0</v>
      </c>
      <c r="AM8" s="7">
        <f>SUM(PresençasEmJunho[[#This Row],[E]:[U]])</f>
        <v>0</v>
      </c>
    </row>
    <row r="9" spans="1:39" ht="16.5" customHeight="1" x14ac:dyDescent="0.25">
      <c r="B9" s="25"/>
      <c r="C9" s="21" t="str">
        <f>IFERROR(VLOOKUP(PresençasEmJunho[[#This Row],[ID de Estudante]],ListaDeAlunos[],18,FALSE),"")</f>
        <v/>
      </c>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4"/>
      <c r="AG9" s="3"/>
      <c r="AH9" s="3"/>
      <c r="AI9" s="35">
        <f>COUNTIF(PresençasEmJunho[[#This Row],[1]:[ ]],Código1)</f>
        <v>0</v>
      </c>
      <c r="AJ9" s="35">
        <f>COUNTIF(PresençasEmJunho[[#This Row],[1]:[ ]],Código2)</f>
        <v>0</v>
      </c>
      <c r="AK9" s="35">
        <f>COUNTIF(PresençasEmJunho[[#This Row],[1]:[ ]],Código3)</f>
        <v>0</v>
      </c>
      <c r="AL9" s="35">
        <f>COUNTIF(PresençasEmJunho[[#This Row],[1]:[ ]],Código4)</f>
        <v>0</v>
      </c>
      <c r="AM9" s="7">
        <f>SUM(PresençasEmJunho[[#This Row],[E]:[U]])</f>
        <v>0</v>
      </c>
    </row>
    <row r="10" spans="1:39" ht="16.5" customHeight="1" x14ac:dyDescent="0.25">
      <c r="B10" s="25"/>
      <c r="C10" s="21" t="str">
        <f>IFERROR(VLOOKUP(PresençasEmJunho[[#This Row],[ID de Estudante]],ListaDeAlunos[],18,FALSE),"")</f>
        <v/>
      </c>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4"/>
      <c r="AG10" s="3"/>
      <c r="AH10" s="3"/>
      <c r="AI10" s="35">
        <f>COUNTIF(PresençasEmJunho[[#This Row],[1]:[ ]],Código1)</f>
        <v>0</v>
      </c>
      <c r="AJ10" s="35">
        <f>COUNTIF(PresençasEmJunho[[#This Row],[1]:[ ]],Código2)</f>
        <v>0</v>
      </c>
      <c r="AK10" s="35">
        <f>COUNTIF(PresençasEmJunho[[#This Row],[1]:[ ]],Código3)</f>
        <v>0</v>
      </c>
      <c r="AL10" s="35">
        <f>COUNTIF(PresençasEmJunho[[#This Row],[1]:[ ]],Código4)</f>
        <v>0</v>
      </c>
      <c r="AM10" s="7">
        <f>SUM(PresençasEmJunho[[#This Row],[E]:[U]])</f>
        <v>0</v>
      </c>
    </row>
    <row r="11" spans="1:39" ht="16.5" customHeight="1" x14ac:dyDescent="0.25">
      <c r="B11" s="25"/>
      <c r="C11" s="21" t="str">
        <f>IFERROR(VLOOKUP(PresençasEmJunho[[#This Row],[ID de Estudante]],ListaDeAlunos[],18,FALSE),"")</f>
        <v/>
      </c>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4"/>
      <c r="AG11" s="3"/>
      <c r="AH11" s="3"/>
      <c r="AI11" s="35">
        <f>COUNTIF(PresençasEmJunho[[#This Row],[1]:[ ]],Código1)</f>
        <v>0</v>
      </c>
      <c r="AJ11" s="35">
        <f>COUNTIF(PresençasEmJunho[[#This Row],[1]:[ ]],Código2)</f>
        <v>0</v>
      </c>
      <c r="AK11" s="35">
        <f>COUNTIF(PresençasEmJunho[[#This Row],[1]:[ ]],Código3)</f>
        <v>0</v>
      </c>
      <c r="AL11" s="35">
        <f>COUNTIF(PresençasEmJunho[[#This Row],[1]:[ ]],Código4)</f>
        <v>0</v>
      </c>
      <c r="AM11" s="7">
        <f>SUM(PresençasEmJunho[[#This Row],[E]:[U]])</f>
        <v>0</v>
      </c>
    </row>
    <row r="12" spans="1:39" ht="16.5" customHeight="1" x14ac:dyDescent="0.25">
      <c r="B12" s="106"/>
      <c r="C12" s="107" t="s">
        <v>113</v>
      </c>
      <c r="D12" s="108">
        <f>COUNTIF(PresençasEmJunho[1],"U")+COUNTIF(PresençasEmJunho[1],"E")</f>
        <v>0</v>
      </c>
      <c r="E12" s="108">
        <f>COUNTIF(PresençasEmJunho[2],"U")+COUNTIF(PresençasEmJunho[2],"E")</f>
        <v>0</v>
      </c>
      <c r="F12" s="108">
        <f>COUNTIF(PresençasEmJunho[3],"U")+COUNTIF(PresençasEmJunho[3],"E")</f>
        <v>0</v>
      </c>
      <c r="G12" s="108">
        <f>COUNTIF(PresençasEmJunho[4],"U")+COUNTIF(PresençasEmJunho[4],"E")</f>
        <v>0</v>
      </c>
      <c r="H12" s="108">
        <f>COUNTIF(PresençasEmJunho[5],"U")+COUNTIF(PresençasEmJunho[5],"E")</f>
        <v>0</v>
      </c>
      <c r="I12" s="108">
        <f>COUNTIF(PresençasEmJunho[6],"U")+COUNTIF(PresençasEmJunho[6],"E")</f>
        <v>0</v>
      </c>
      <c r="J12" s="108">
        <f>COUNTIF(PresençasEmJunho[7],"U")+COUNTIF(PresençasEmJunho[7],"E")</f>
        <v>0</v>
      </c>
      <c r="K12" s="108">
        <f>COUNTIF(PresençasEmJunho[8],"U")+COUNTIF(PresençasEmJunho[8],"E")</f>
        <v>0</v>
      </c>
      <c r="L12" s="108">
        <f>COUNTIF(PresençasEmJunho[9],"U")+COUNTIF(PresençasEmJunho[9],"E")</f>
        <v>0</v>
      </c>
      <c r="M12" s="108">
        <f>COUNTIF(PresençasEmJunho[10],"U")+COUNTIF(PresençasEmJunho[10],"E")</f>
        <v>0</v>
      </c>
      <c r="N12" s="108">
        <f>COUNTIF(PresençasEmJunho[11],"U")+COUNTIF(PresençasEmJunho[11],"E")</f>
        <v>0</v>
      </c>
      <c r="O12" s="108">
        <f>COUNTIF(PresençasEmJunho[12],"U")+COUNTIF(PresençasEmJunho[12],"E")</f>
        <v>0</v>
      </c>
      <c r="P12" s="108">
        <f>COUNTIF(PresençasEmJunho[13],"U")+COUNTIF(PresençasEmJunho[13],"E")</f>
        <v>0</v>
      </c>
      <c r="Q12" s="108">
        <f>COUNTIF(PresençasEmJunho[14],"U")+COUNTIF(PresençasEmJunho[14],"E")</f>
        <v>0</v>
      </c>
      <c r="R12" s="108">
        <f>COUNTIF(PresençasEmJunho[15],"U")+COUNTIF(PresençasEmJunho[15],"E")</f>
        <v>0</v>
      </c>
      <c r="S12" s="108">
        <f>COUNTIF(PresençasEmJunho[16],"U")+COUNTIF(PresençasEmJunho[16],"E")</f>
        <v>0</v>
      </c>
      <c r="T12" s="108">
        <f>COUNTIF(PresençasEmJunho[17],"U")+COUNTIF(PresençasEmJunho[17],"E")</f>
        <v>0</v>
      </c>
      <c r="U12" s="108">
        <f>COUNTIF(PresençasEmJunho[18],"U")+COUNTIF(PresençasEmJunho[18],"E")</f>
        <v>0</v>
      </c>
      <c r="V12" s="108">
        <f>COUNTIF(PresençasEmJunho[19],"U")+COUNTIF(PresençasEmJunho[19],"E")</f>
        <v>0</v>
      </c>
      <c r="W12" s="108">
        <f>COUNTIF(PresençasEmJunho[20],"U")+COUNTIF(PresençasEmJunho[20],"E")</f>
        <v>0</v>
      </c>
      <c r="X12" s="108">
        <f>COUNTIF(PresençasEmJunho[21],"U")+COUNTIF(PresençasEmJunho[21],"E")</f>
        <v>0</v>
      </c>
      <c r="Y12" s="108">
        <f>COUNTIF(PresençasEmJunho[22],"U")+COUNTIF(PresençasEmJunho[22],"E")</f>
        <v>0</v>
      </c>
      <c r="Z12" s="108">
        <f>COUNTIF(PresençasEmJunho[23],"U")+COUNTIF(PresençasEmJunho[23],"E")</f>
        <v>0</v>
      </c>
      <c r="AA12" s="108">
        <f>COUNTIF(PresençasEmJunho[24],"U")+COUNTIF(PresençasEmJunho[24],"E")</f>
        <v>0</v>
      </c>
      <c r="AB12" s="108">
        <f>COUNTIF(PresençasEmJunho[25],"U")+COUNTIF(PresençasEmJunho[25],"E")</f>
        <v>0</v>
      </c>
      <c r="AC12" s="108">
        <f>COUNTIF(PresençasEmJunho[26],"U")+COUNTIF(PresençasEmJunho[26],"E")</f>
        <v>0</v>
      </c>
      <c r="AD12" s="108">
        <f>COUNTIF(PresençasEmJunho[27],"U")+COUNTIF(PresençasEmJunho[27],"E")</f>
        <v>0</v>
      </c>
      <c r="AE12" s="108">
        <f>COUNTIF(PresençasEmJunho[28],"U")+COUNTIF(PresençasEmJunho[28],"E")</f>
        <v>0</v>
      </c>
      <c r="AF12" s="108">
        <f>COUNTIF(PresençasEmJunho[29],"U")+COUNTIF(PresençasEmJunho[29],"E")</f>
        <v>0</v>
      </c>
      <c r="AG12" s="108"/>
      <c r="AH12" s="108"/>
      <c r="AI12" s="108">
        <f>SUBTOTAL(109,PresençasEmJunho[T])</f>
        <v>0</v>
      </c>
      <c r="AJ12" s="108">
        <f>SUBTOTAL(109,PresençasEmJunho[E])</f>
        <v>0</v>
      </c>
      <c r="AK12" s="108">
        <f>SUBTOTAL(109,PresençasEmJunho[U])</f>
        <v>0</v>
      </c>
      <c r="AL12" s="108">
        <f>SUBTOTAL(109,PresençasEmJunho[P])</f>
        <v>0</v>
      </c>
      <c r="AM12" s="108">
        <f>SUBTOTAL(109,PresençasEmJunho[Dias de Ausência])</f>
        <v>0</v>
      </c>
    </row>
    <row r="13" spans="1:39" ht="16.5" customHeight="1" x14ac:dyDescent="0.25"/>
    <row r="14" spans="1:39" ht="16.5" customHeight="1" x14ac:dyDescent="0.25"/>
    <row r="15" spans="1:39" ht="16.5" customHeight="1" x14ac:dyDescent="0.25"/>
    <row r="16" spans="1:39"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sheetData>
  <sheetProtection formatCells="0" formatColumns="0" formatRows="0" insertColumns="0" insertRows="0" insertHyperlinks="0" deleteColumns="0" deleteRows="0" sort="0" autoFilter="0" pivotTables="0"/>
  <mergeCells count="1">
    <mergeCell ref="AI5:AM5"/>
  </mergeCells>
  <conditionalFormatting sqref="AM7:AM11">
    <cfRule type="dataBar" priority="1">
      <dataBar>
        <cfvo type="min"/>
        <cfvo type="num" val="DATEDIF(DATE(CalendárioAnual,2,1),DATE(CalendárioAnual,3,1),&quot;d&quot;)"/>
        <color theme="4"/>
      </dataBar>
      <extLst>
        <ext xmlns:x14="http://schemas.microsoft.com/office/spreadsheetml/2009/9/main" uri="{B025F937-C7B1-47D3-B67F-A62EFF666E3E}">
          <x14:id>{22C67C28-76AD-46BA-A7A2-13A61F3247FE}</x14:id>
        </ext>
      </extLst>
    </cfRule>
  </conditionalFormatting>
  <conditionalFormatting sqref="D7:AF11">
    <cfRule type="expression" dxfId="209" priority="2" stopIfTrue="1">
      <formula>D7=Código2</formula>
    </cfRule>
  </conditionalFormatting>
  <conditionalFormatting sqref="D7:AF11">
    <cfRule type="expression" dxfId="208" priority="3" stopIfTrue="1">
      <formula>D7=Código5</formula>
    </cfRule>
    <cfRule type="expression" dxfId="207" priority="4" stopIfTrue="1">
      <formula>D7=Código4</formula>
    </cfRule>
    <cfRule type="expression" dxfId="206" priority="5" stopIfTrue="1">
      <formula>D7=Código3</formula>
    </cfRule>
    <cfRule type="expression" dxfId="205" priority="6" stopIfTrue="1">
      <formula>D7=Código1</formula>
    </cfRule>
  </conditionalFormatting>
  <dataValidations count="1">
    <dataValidation type="list" errorStyle="warning" allowBlank="1" showInputMessage="1" showErrorMessage="1" errorTitle="Ups!" error="O ID de Estudante que introduziu não está na folha Lista de Estudantes. Pode clicar em Sim para usar os dados que introduziu, mas esse ID de Estudante não estará disponível na folha Relatório de Presenças dos Estudantes." sqref="B7:B11" xr:uid="{00000000-0002-0000-0C00-000000000000}">
      <formula1>IDDeAluno</formula1>
    </dataValidation>
  </dataValidations>
  <printOptions horizontalCentered="1"/>
  <pageMargins left="0.5" right="0.5" top="0.75" bottom="0.75" header="0.3" footer="0.3"/>
  <pageSetup paperSize="9" scale="58" fitToHeight="0" orientation="landscape" verticalDpi="12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2C67C28-76AD-46BA-A7A2-13A61F3247FE}">
            <x14:dataBar minLength="0" maxLength="100" border="1" negativeBarBorderColorSameAsPositive="0">
              <x14:cfvo type="autoMin"/>
              <x14:cfvo type="num">
                <xm:f>DATEDIF(DATE(CalendárioAnual,2,1),DATE(CalendárioAnual,3,1),"d")</xm:f>
              </x14:cfvo>
              <x14:borderColor theme="4"/>
              <x14:negativeFillColor rgb="FFFF0000"/>
              <x14:negativeBorderColor rgb="FFFF0000"/>
              <x14:axisColor rgb="FF000000"/>
            </x14:dataBar>
          </x14:cfRule>
          <xm:sqref>AM7:AM11</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79998168889431442"/>
    <pageSetUpPr fitToPage="1"/>
  </sheetPr>
  <dimension ref="A1:AM264"/>
  <sheetViews>
    <sheetView showGridLines="0" zoomScaleNormal="100" workbookViewId="0">
      <pane xSplit="3" ySplit="6" topLeftCell="D7" activePane="bottomRight" state="frozen"/>
      <selection pane="topRight"/>
      <selection pane="bottomLeft"/>
      <selection pane="bottomRight" activeCell="P14" sqref="P14"/>
    </sheetView>
  </sheetViews>
  <sheetFormatPr defaultRowHeight="15" customHeight="1" x14ac:dyDescent="0.25"/>
  <cols>
    <col min="1" max="1" width="2.7109375" style="11" customWidth="1"/>
    <col min="2" max="2" width="15.7109375" style="11" bestFit="1" customWidth="1"/>
    <col min="3" max="3" width="28.85546875" style="12" customWidth="1"/>
    <col min="4" max="34" width="5" style="10" customWidth="1"/>
    <col min="35" max="35" width="4.7109375" style="9" customWidth="1"/>
    <col min="36" max="36" width="4.7109375" style="10" customWidth="1"/>
    <col min="37" max="38" width="4.7109375" style="11" customWidth="1"/>
    <col min="39" max="39" width="16.85546875" style="11" bestFit="1" customWidth="1"/>
    <col min="40" max="16384" width="9.140625" style="11"/>
  </cols>
  <sheetData>
    <row r="1" spans="1:39" s="1" customFormat="1" ht="42" customHeight="1" x14ac:dyDescent="0.25">
      <c r="A1" s="38" t="s">
        <v>88</v>
      </c>
      <c r="B1" s="39"/>
      <c r="C1" s="39"/>
      <c r="D1" s="40"/>
      <c r="E1" s="40"/>
      <c r="F1" s="40"/>
      <c r="G1" s="40"/>
      <c r="H1" s="40"/>
      <c r="I1" s="40"/>
      <c r="J1" s="40"/>
      <c r="K1" s="40"/>
      <c r="L1" s="40"/>
      <c r="M1" s="40"/>
      <c r="N1" s="40"/>
      <c r="O1" s="40"/>
      <c r="P1" s="40"/>
      <c r="Q1" s="40"/>
      <c r="R1" s="40"/>
      <c r="S1" s="40"/>
      <c r="T1" s="40"/>
      <c r="U1" s="40"/>
      <c r="V1" s="40"/>
      <c r="W1" s="40"/>
      <c r="X1" s="40"/>
      <c r="Y1" s="40"/>
      <c r="Z1" s="40"/>
      <c r="AA1" s="40"/>
      <c r="AB1" s="40"/>
      <c r="AC1" s="39"/>
      <c r="AD1" s="39"/>
      <c r="AE1" s="39"/>
      <c r="AF1" s="39"/>
      <c r="AG1" s="41"/>
      <c r="AH1" s="39"/>
      <c r="AI1" s="39"/>
      <c r="AJ1" s="42"/>
      <c r="AK1" s="39"/>
      <c r="AL1" s="55" t="s">
        <v>71</v>
      </c>
      <c r="AM1" s="56">
        <f>CalendárioAnual</f>
        <v>2018</v>
      </c>
    </row>
    <row r="2" spans="1:39" customFormat="1" ht="13.5" x14ac:dyDescent="0.25"/>
    <row r="3" spans="1:39" s="30" customFormat="1" ht="12.75" customHeight="1" x14ac:dyDescent="0.25">
      <c r="C3" s="45" t="str">
        <f>TextoColorKey</f>
        <v xml:space="preserve">CHAVE DE CORES </v>
      </c>
      <c r="D3" s="49" t="str">
        <f>Código1</f>
        <v>T</v>
      </c>
      <c r="E3" s="64" t="str">
        <f>Código1Texto</f>
        <v>Atrasado</v>
      </c>
      <c r="F3" s="54"/>
      <c r="H3" s="50" t="str">
        <f>Código2</f>
        <v>E</v>
      </c>
      <c r="I3" s="54" t="str">
        <f>Código2Texto</f>
        <v>Justificado</v>
      </c>
      <c r="L3" s="51" t="str">
        <f>Código3</f>
        <v>U</v>
      </c>
      <c r="M3" s="54" t="str">
        <f>Código3Texto</f>
        <v>Não justificado</v>
      </c>
      <c r="P3" s="52" t="str">
        <f>Código4</f>
        <v>P</v>
      </c>
      <c r="Q3" s="54" t="str">
        <f>Código4Texto</f>
        <v>Presente</v>
      </c>
      <c r="T3" s="53" t="str">
        <f>Código5</f>
        <v>N</v>
      </c>
      <c r="U3" s="54" t="str">
        <f>Código5Texto</f>
        <v>Não há Escola</v>
      </c>
      <c r="W3"/>
      <c r="X3"/>
      <c r="Y3"/>
      <c r="AD3" s="29"/>
      <c r="AE3" s="29"/>
      <c r="AH3" s="31"/>
      <c r="AI3" s="32"/>
      <c r="AK3" s="33"/>
    </row>
    <row r="4" spans="1:39" customFormat="1" ht="16.5" customHeight="1" x14ac:dyDescent="0.25"/>
    <row r="5" spans="1:39" s="2" customFormat="1" ht="18" customHeight="1" x14ac:dyDescent="0.3">
      <c r="B5" s="58">
        <f>DATE(CalendárioAnual+1,7,1)</f>
        <v>43647</v>
      </c>
      <c r="C5" s="57"/>
      <c r="D5" s="43" t="str">
        <f>TEXT(WEEKDAY(DATE(CalendárioAnual+1,7,1),1),"ddd")</f>
        <v>seg</v>
      </c>
      <c r="E5" s="43" t="str">
        <f>TEXT(WEEKDAY(DATE(CalendárioAnual+1,7,2),1),"ddd")</f>
        <v>ter</v>
      </c>
      <c r="F5" s="43" t="str">
        <f>TEXT(WEEKDAY(DATE(CalendárioAnual+1,7,3),1),"ddd")</f>
        <v>qua</v>
      </c>
      <c r="G5" s="43" t="str">
        <f>TEXT(WEEKDAY(DATE(CalendárioAnual+1,7,4),1),"ddd")</f>
        <v>qui</v>
      </c>
      <c r="H5" s="43" t="str">
        <f>TEXT(WEEKDAY(DATE(CalendárioAnual+1,7,5),1),"ddd")</f>
        <v>sex</v>
      </c>
      <c r="I5" s="43" t="str">
        <f>TEXT(WEEKDAY(DATE(CalendárioAnual+1,7,6),1),"ddd")</f>
        <v>sáb</v>
      </c>
      <c r="J5" s="43" t="str">
        <f>TEXT(WEEKDAY(DATE(CalendárioAnual+1,7,7),1),"ddd")</f>
        <v>dom</v>
      </c>
      <c r="K5" s="43" t="str">
        <f>TEXT(WEEKDAY(DATE(CalendárioAnual+1,7,8),1),"ddd")</f>
        <v>seg</v>
      </c>
      <c r="L5" s="43" t="str">
        <f>TEXT(WEEKDAY(DATE(CalendárioAnual+1,7,9),1),"ddd")</f>
        <v>ter</v>
      </c>
      <c r="M5" s="43" t="str">
        <f>TEXT(WEEKDAY(DATE(CalendárioAnual+1,7,10),1),"ddd")</f>
        <v>qua</v>
      </c>
      <c r="N5" s="43" t="str">
        <f>TEXT(WEEKDAY(DATE(CalendárioAnual+1,7,11),1),"ddd")</f>
        <v>qui</v>
      </c>
      <c r="O5" s="43" t="str">
        <f>TEXT(WEEKDAY(DATE(CalendárioAnual+1,7,12),1),"ddd")</f>
        <v>sex</v>
      </c>
      <c r="P5" s="43" t="str">
        <f>TEXT(WEEKDAY(DATE(CalendárioAnual+1,7,13),1),"ddd")</f>
        <v>sáb</v>
      </c>
      <c r="Q5" s="43" t="str">
        <f>TEXT(WEEKDAY(DATE(CalendárioAnual+1,7,14),1),"ddd")</f>
        <v>dom</v>
      </c>
      <c r="R5" s="43" t="str">
        <f>TEXT(WEEKDAY(DATE(CalendárioAnual+1,7,15),1),"ddd")</f>
        <v>seg</v>
      </c>
      <c r="S5" s="43" t="str">
        <f>TEXT(WEEKDAY(DATE(CalendárioAnual+1,7,16),1),"ddd")</f>
        <v>ter</v>
      </c>
      <c r="T5" s="43" t="str">
        <f>TEXT(WEEKDAY(DATE(CalendárioAnual+1,7,17),1),"ddd")</f>
        <v>qua</v>
      </c>
      <c r="U5" s="43" t="str">
        <f>TEXT(WEEKDAY(DATE(CalendárioAnual+1,7,18),1),"ddd")</f>
        <v>qui</v>
      </c>
      <c r="V5" s="43" t="str">
        <f>TEXT(WEEKDAY(DATE(CalendárioAnual+1,7,19),1),"ddd")</f>
        <v>sex</v>
      </c>
      <c r="W5" s="43" t="str">
        <f>TEXT(WEEKDAY(DATE(CalendárioAnual+1,7,20),1),"ddd")</f>
        <v>sáb</v>
      </c>
      <c r="X5" s="43" t="str">
        <f>TEXT(WEEKDAY(DATE(CalendárioAnual+1,7,21),1),"ddd")</f>
        <v>dom</v>
      </c>
      <c r="Y5" s="43" t="str">
        <f>TEXT(WEEKDAY(DATE(CalendárioAnual+1,7,22),1),"ddd")</f>
        <v>seg</v>
      </c>
      <c r="Z5" s="43" t="str">
        <f>TEXT(WEEKDAY(DATE(CalendárioAnual+1,7,23),1),"ddd")</f>
        <v>ter</v>
      </c>
      <c r="AA5" s="43" t="str">
        <f>TEXT(WEEKDAY(DATE(CalendárioAnual+1,7,24),1),"ddd")</f>
        <v>qua</v>
      </c>
      <c r="AB5" s="43" t="str">
        <f>TEXT(WEEKDAY(DATE(CalendárioAnual+1,7,25),1),"ddd")</f>
        <v>qui</v>
      </c>
      <c r="AC5" s="43" t="str">
        <f>TEXT(WEEKDAY(DATE(CalendárioAnual+1,7,26),1),"ddd")</f>
        <v>sex</v>
      </c>
      <c r="AD5" s="43" t="str">
        <f>TEXT(WEEKDAY(DATE(CalendárioAnual+1,7,27),1),"ddd")</f>
        <v>sáb</v>
      </c>
      <c r="AE5" s="43" t="str">
        <f>TEXT(WEEKDAY(DATE(CalendárioAnual+1,7,28),1),"ddd")</f>
        <v>dom</v>
      </c>
      <c r="AF5" s="43" t="str">
        <f>TEXT(WEEKDAY(DATE(CalendárioAnual+1,7,29),1),"ddd")</f>
        <v>seg</v>
      </c>
      <c r="AG5" s="43" t="str">
        <f>TEXT(WEEKDAY(DATE(CalendárioAnual+1,7,30),1),"ddd")</f>
        <v>ter</v>
      </c>
      <c r="AH5" s="43" t="str">
        <f>TEXT(WEEKDAY(DATE(CalendárioAnual+1,7,31),1),"ddd")</f>
        <v>qua</v>
      </c>
      <c r="AI5" s="119" t="s">
        <v>40</v>
      </c>
      <c r="AJ5" s="119"/>
      <c r="AK5" s="119"/>
      <c r="AL5" s="119"/>
      <c r="AM5" s="119"/>
    </row>
    <row r="6" spans="1:39" ht="14.25" customHeight="1" x14ac:dyDescent="0.25">
      <c r="B6" s="26" t="s">
        <v>34</v>
      </c>
      <c r="C6" s="27" t="s">
        <v>35</v>
      </c>
      <c r="D6" s="28" t="s">
        <v>0</v>
      </c>
      <c r="E6" s="28" t="s">
        <v>1</v>
      </c>
      <c r="F6" s="28" t="s">
        <v>2</v>
      </c>
      <c r="G6" s="28" t="s">
        <v>3</v>
      </c>
      <c r="H6" s="28" t="s">
        <v>4</v>
      </c>
      <c r="I6" s="28" t="s">
        <v>5</v>
      </c>
      <c r="J6" s="28" t="s">
        <v>6</v>
      </c>
      <c r="K6" s="28" t="s">
        <v>7</v>
      </c>
      <c r="L6" s="28" t="s">
        <v>8</v>
      </c>
      <c r="M6" s="28" t="s">
        <v>9</v>
      </c>
      <c r="N6" s="28" t="s">
        <v>10</v>
      </c>
      <c r="O6" s="28" t="s">
        <v>11</v>
      </c>
      <c r="P6" s="28" t="s">
        <v>12</v>
      </c>
      <c r="Q6" s="28" t="s">
        <v>13</v>
      </c>
      <c r="R6" s="28" t="s">
        <v>14</v>
      </c>
      <c r="S6" s="28" t="s">
        <v>15</v>
      </c>
      <c r="T6" s="28" t="s">
        <v>16</v>
      </c>
      <c r="U6" s="28" t="s">
        <v>17</v>
      </c>
      <c r="V6" s="28" t="s">
        <v>18</v>
      </c>
      <c r="W6" s="28" t="s">
        <v>19</v>
      </c>
      <c r="X6" s="28" t="s">
        <v>20</v>
      </c>
      <c r="Y6" s="28" t="s">
        <v>21</v>
      </c>
      <c r="Z6" s="28" t="s">
        <v>22</v>
      </c>
      <c r="AA6" s="28" t="s">
        <v>23</v>
      </c>
      <c r="AB6" s="28" t="s">
        <v>24</v>
      </c>
      <c r="AC6" s="28" t="s">
        <v>25</v>
      </c>
      <c r="AD6" s="28" t="s">
        <v>26</v>
      </c>
      <c r="AE6" s="28" t="s">
        <v>27</v>
      </c>
      <c r="AF6" s="28" t="s">
        <v>28</v>
      </c>
      <c r="AG6" s="28" t="s">
        <v>29</v>
      </c>
      <c r="AH6" s="28" t="s">
        <v>30</v>
      </c>
      <c r="AI6" s="68" t="s">
        <v>36</v>
      </c>
      <c r="AJ6" s="37" t="s">
        <v>38</v>
      </c>
      <c r="AK6" s="36" t="s">
        <v>37</v>
      </c>
      <c r="AL6" s="34" t="s">
        <v>31</v>
      </c>
      <c r="AM6" t="s">
        <v>39</v>
      </c>
    </row>
    <row r="7" spans="1:39" ht="16.5" customHeight="1" x14ac:dyDescent="0.25">
      <c r="B7" s="25"/>
      <c r="C7" s="20" t="str">
        <f>IFERROR(VLOOKUP(PresençasEmJulho[[#This Row],[ID de Estudante]],ListaDeAlunos[],18,FALSE),"")</f>
        <v/>
      </c>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4"/>
      <c r="AG7" s="3"/>
      <c r="AH7" s="3"/>
      <c r="AI7" s="35">
        <f>COUNTIF(PresençasEmJulho[[#This Row],[1]:[31]],Código1)</f>
        <v>0</v>
      </c>
      <c r="AJ7" s="35">
        <f>COUNTIF(PresençasEmJulho[[#This Row],[1]:[31]],Código2)</f>
        <v>0</v>
      </c>
      <c r="AK7" s="35">
        <f>COUNTIF(PresençasEmJulho[[#This Row],[1]:[31]],Código3)</f>
        <v>0</v>
      </c>
      <c r="AL7" s="35">
        <f>COUNTIF(PresençasEmJulho[[#This Row],[1]:[31]],Código4)</f>
        <v>0</v>
      </c>
      <c r="AM7" s="7">
        <f>SUM(PresençasEmJulho[[#This Row],[E]:[U]])</f>
        <v>0</v>
      </c>
    </row>
    <row r="8" spans="1:39" ht="16.5" customHeight="1" x14ac:dyDescent="0.25">
      <c r="B8" s="25"/>
      <c r="C8" s="21" t="str">
        <f>IFERROR(VLOOKUP(PresençasEmJulho[[#This Row],[ID de Estudante]],ListaDeAlunos[],18,FALSE),"")</f>
        <v/>
      </c>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4"/>
      <c r="AG8" s="3"/>
      <c r="AH8" s="3"/>
      <c r="AI8" s="35">
        <f>COUNTIF(PresençasEmJulho[[#This Row],[1]:[31]],Código1)</f>
        <v>0</v>
      </c>
      <c r="AJ8" s="35">
        <f>COUNTIF(PresençasEmJulho[[#This Row],[1]:[31]],Código2)</f>
        <v>0</v>
      </c>
      <c r="AK8" s="35">
        <f>COUNTIF(PresençasEmJulho[[#This Row],[1]:[31]],Código3)</f>
        <v>0</v>
      </c>
      <c r="AL8" s="35">
        <f>COUNTIF(PresençasEmJulho[[#This Row],[1]:[31]],Código4)</f>
        <v>0</v>
      </c>
      <c r="AM8" s="7">
        <f>SUM(PresençasEmJulho[[#This Row],[E]:[U]])</f>
        <v>0</v>
      </c>
    </row>
    <row r="9" spans="1:39" ht="16.5" customHeight="1" x14ac:dyDescent="0.25">
      <c r="B9" s="25"/>
      <c r="C9" s="21" t="str">
        <f>IFERROR(VLOOKUP(PresençasEmJulho[[#This Row],[ID de Estudante]],ListaDeAlunos[],18,FALSE),"")</f>
        <v/>
      </c>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4"/>
      <c r="AG9" s="3"/>
      <c r="AH9" s="3"/>
      <c r="AI9" s="35">
        <f>COUNTIF(PresençasEmJulho[[#This Row],[1]:[31]],Código1)</f>
        <v>0</v>
      </c>
      <c r="AJ9" s="35">
        <f>COUNTIF(PresençasEmJulho[[#This Row],[1]:[31]],Código2)</f>
        <v>0</v>
      </c>
      <c r="AK9" s="35">
        <f>COUNTIF(PresençasEmJulho[[#This Row],[1]:[31]],Código3)</f>
        <v>0</v>
      </c>
      <c r="AL9" s="35">
        <f>COUNTIF(PresençasEmJulho[[#This Row],[1]:[31]],Código4)</f>
        <v>0</v>
      </c>
      <c r="AM9" s="7">
        <f>SUM(PresençasEmJulho[[#This Row],[E]:[U]])</f>
        <v>0</v>
      </c>
    </row>
    <row r="10" spans="1:39" ht="16.5" customHeight="1" x14ac:dyDescent="0.25">
      <c r="B10" s="25"/>
      <c r="C10" s="21" t="str">
        <f>IFERROR(VLOOKUP(PresençasEmJulho[[#This Row],[ID de Estudante]],ListaDeAlunos[],18,FALSE),"")</f>
        <v/>
      </c>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4"/>
      <c r="AG10" s="3"/>
      <c r="AH10" s="3"/>
      <c r="AI10" s="35">
        <f>COUNTIF(PresençasEmJulho[[#This Row],[1]:[31]],Código1)</f>
        <v>0</v>
      </c>
      <c r="AJ10" s="35">
        <f>COUNTIF(PresençasEmJulho[[#This Row],[1]:[31]],Código2)</f>
        <v>0</v>
      </c>
      <c r="AK10" s="35">
        <f>COUNTIF(PresençasEmJulho[[#This Row],[1]:[31]],Código3)</f>
        <v>0</v>
      </c>
      <c r="AL10" s="35">
        <f>COUNTIF(PresençasEmJulho[[#This Row],[1]:[31]],Código4)</f>
        <v>0</v>
      </c>
      <c r="AM10" s="7">
        <f>SUM(PresençasEmJulho[[#This Row],[E]:[U]])</f>
        <v>0</v>
      </c>
    </row>
    <row r="11" spans="1:39" ht="16.5" customHeight="1" x14ac:dyDescent="0.25">
      <c r="B11" s="25"/>
      <c r="C11" s="21" t="str">
        <f>IFERROR(VLOOKUP(PresençasEmJulho[[#This Row],[ID de Estudante]],ListaDeAlunos[],18,FALSE),"")</f>
        <v/>
      </c>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4"/>
      <c r="AG11" s="3"/>
      <c r="AH11" s="3"/>
      <c r="AI11" s="35">
        <f>COUNTIF(PresençasEmJulho[[#This Row],[1]:[31]],Código1)</f>
        <v>0</v>
      </c>
      <c r="AJ11" s="35">
        <f>COUNTIF(PresençasEmJulho[[#This Row],[1]:[31]],Código2)</f>
        <v>0</v>
      </c>
      <c r="AK11" s="35">
        <f>COUNTIF(PresençasEmJulho[[#This Row],[1]:[31]],Código3)</f>
        <v>0</v>
      </c>
      <c r="AL11" s="35">
        <f>COUNTIF(PresençasEmJulho[[#This Row],[1]:[31]],Código4)</f>
        <v>0</v>
      </c>
      <c r="AM11" s="7">
        <f>SUM(PresençasEmJulho[[#This Row],[E]:[U]])</f>
        <v>0</v>
      </c>
    </row>
    <row r="12" spans="1:39" ht="16.5" customHeight="1" x14ac:dyDescent="0.25">
      <c r="B12" s="106"/>
      <c r="C12" s="107" t="s">
        <v>113</v>
      </c>
      <c r="D12" s="108">
        <f>COUNTIF(PresençasEmJulho[1],"U")+COUNTIF(PresençasEmJulho[1],"E")</f>
        <v>0</v>
      </c>
      <c r="E12" s="108">
        <f>COUNTIF(PresençasEmJulho[2],"U")+COUNTIF(PresençasEmJulho[2],"E")</f>
        <v>0</v>
      </c>
      <c r="F12" s="108">
        <f>COUNTIF(PresençasEmJulho[3],"U")+COUNTIF(PresençasEmJulho[3],"E")</f>
        <v>0</v>
      </c>
      <c r="G12" s="108">
        <f>COUNTIF(PresençasEmJulho[4],"U")+COUNTIF(PresençasEmJulho[4],"E")</f>
        <v>0</v>
      </c>
      <c r="H12" s="108">
        <f>COUNTIF(PresençasEmJulho[5],"U")+COUNTIF(PresençasEmJulho[5],"E")</f>
        <v>0</v>
      </c>
      <c r="I12" s="108">
        <f>COUNTIF(PresençasEmJulho[6],"U")+COUNTIF(PresençasEmJulho[6],"E")</f>
        <v>0</v>
      </c>
      <c r="J12" s="108">
        <f>COUNTIF(PresençasEmJulho[7],"U")+COUNTIF(PresençasEmJulho[7],"E")</f>
        <v>0</v>
      </c>
      <c r="K12" s="108">
        <f>COUNTIF(PresençasEmJulho[8],"U")+COUNTIF(PresençasEmJulho[8],"E")</f>
        <v>0</v>
      </c>
      <c r="L12" s="108">
        <f>COUNTIF(PresençasEmJulho[9],"U")+COUNTIF(PresençasEmJulho[9],"E")</f>
        <v>0</v>
      </c>
      <c r="M12" s="108">
        <f>COUNTIF(PresençasEmJulho[10],"U")+COUNTIF(PresençasEmJulho[10],"E")</f>
        <v>0</v>
      </c>
      <c r="N12" s="108">
        <f>COUNTIF(PresençasEmJulho[11],"U")+COUNTIF(PresençasEmJulho[11],"E")</f>
        <v>0</v>
      </c>
      <c r="O12" s="108">
        <f>COUNTIF(PresençasEmJulho[12],"U")+COUNTIF(PresençasEmJulho[12],"E")</f>
        <v>0</v>
      </c>
      <c r="P12" s="108">
        <f>COUNTIF(PresençasEmJulho[13],"U")+COUNTIF(PresençasEmJulho[13],"E")</f>
        <v>0</v>
      </c>
      <c r="Q12" s="108">
        <f>COUNTIF(PresençasEmJulho[14],"U")+COUNTIF(PresençasEmJulho[14],"E")</f>
        <v>0</v>
      </c>
      <c r="R12" s="108">
        <f>COUNTIF(PresençasEmJulho[15],"U")+COUNTIF(PresençasEmJulho[15],"E")</f>
        <v>0</v>
      </c>
      <c r="S12" s="108">
        <f>COUNTIF(PresençasEmJulho[16],"U")+COUNTIF(PresençasEmJulho[16],"E")</f>
        <v>0</v>
      </c>
      <c r="T12" s="108">
        <f>COUNTIF(PresençasEmJulho[17],"U")+COUNTIF(PresençasEmJulho[17],"E")</f>
        <v>0</v>
      </c>
      <c r="U12" s="108">
        <f>COUNTIF(PresençasEmJulho[18],"U")+COUNTIF(PresençasEmJulho[18],"E")</f>
        <v>0</v>
      </c>
      <c r="V12" s="108">
        <f>COUNTIF(PresençasEmJulho[19],"U")+COUNTIF(PresençasEmJulho[19],"E")</f>
        <v>0</v>
      </c>
      <c r="W12" s="108">
        <f>COUNTIF(PresençasEmJulho[20],"U")+COUNTIF(PresençasEmJulho[20],"E")</f>
        <v>0</v>
      </c>
      <c r="X12" s="108">
        <f>COUNTIF(PresençasEmJulho[21],"U")+COUNTIF(PresençasEmJulho[21],"E")</f>
        <v>0</v>
      </c>
      <c r="Y12" s="108">
        <f>COUNTIF(PresençasEmJulho[22],"U")+COUNTIF(PresençasEmJulho[22],"E")</f>
        <v>0</v>
      </c>
      <c r="Z12" s="108">
        <f>COUNTIF(PresençasEmJulho[23],"U")+COUNTIF(PresençasEmJulho[23],"E")</f>
        <v>0</v>
      </c>
      <c r="AA12" s="108">
        <f>COUNTIF(PresençasEmJulho[24],"U")+COUNTIF(PresençasEmJulho[24],"E")</f>
        <v>0</v>
      </c>
      <c r="AB12" s="108">
        <f>COUNTIF(PresençasEmJulho[25],"U")+COUNTIF(PresençasEmJulho[25],"E")</f>
        <v>0</v>
      </c>
      <c r="AC12" s="108">
        <f>COUNTIF(PresençasEmJulho[26],"U")+COUNTIF(PresençasEmJulho[26],"E")</f>
        <v>0</v>
      </c>
      <c r="AD12" s="108">
        <f>COUNTIF(PresençasEmJulho[27],"U")+COUNTIF(PresençasEmJulho[27],"E")</f>
        <v>0</v>
      </c>
      <c r="AE12" s="108">
        <f>COUNTIF(PresençasEmJulho[28],"U")+COUNTIF(PresençasEmJulho[28],"E")</f>
        <v>0</v>
      </c>
      <c r="AF12" s="108">
        <f>COUNTIF(PresençasEmJulho[29],"U")+COUNTIF(PresençasEmJulho[29],"E")</f>
        <v>0</v>
      </c>
      <c r="AG12" s="108"/>
      <c r="AH12" s="108"/>
      <c r="AI12" s="108">
        <f>SUBTOTAL(109,PresençasEmJulho[T])</f>
        <v>0</v>
      </c>
      <c r="AJ12" s="108">
        <f>SUBTOTAL(109,PresençasEmJulho[E])</f>
        <v>0</v>
      </c>
      <c r="AK12" s="108">
        <f>SUBTOTAL(109,PresençasEmJulho[U])</f>
        <v>0</v>
      </c>
      <c r="AL12" s="108">
        <f>SUBTOTAL(109,PresençasEmJulho[P])</f>
        <v>0</v>
      </c>
      <c r="AM12" s="108">
        <f>SUBTOTAL(109,PresençasEmJulho[Dias de Ausência])</f>
        <v>0</v>
      </c>
    </row>
    <row r="13" spans="1:39" ht="16.5" customHeight="1" x14ac:dyDescent="0.25"/>
    <row r="14" spans="1:39" ht="16.5" customHeight="1" x14ac:dyDescent="0.25"/>
    <row r="15" spans="1:39" ht="16.5" customHeight="1" x14ac:dyDescent="0.25"/>
    <row r="16" spans="1:39"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sheetData>
  <sheetProtection formatCells="0" formatColumns="0" formatRows="0" insertColumns="0" insertRows="0" insertHyperlinks="0" deleteColumns="0" deleteRows="0" sort="0" autoFilter="0" pivotTables="0"/>
  <mergeCells count="1">
    <mergeCell ref="AI5:AM5"/>
  </mergeCells>
  <conditionalFormatting sqref="AM7:AM11">
    <cfRule type="dataBar" priority="1">
      <dataBar>
        <cfvo type="min"/>
        <cfvo type="num" val="DATEDIF(DATE(CalendárioAnual,2,1),DATE(CalendárioAnual,3,1),&quot;d&quot;)"/>
        <color theme="4"/>
      </dataBar>
      <extLst>
        <ext xmlns:x14="http://schemas.microsoft.com/office/spreadsheetml/2009/9/main" uri="{B025F937-C7B1-47D3-B67F-A62EFF666E3E}">
          <x14:id>{9F36FAEC-C62D-409B-BB81-2770CD5BFB3E}</x14:id>
        </ext>
      </extLst>
    </cfRule>
  </conditionalFormatting>
  <conditionalFormatting sqref="D7:AF11">
    <cfRule type="expression" dxfId="126" priority="2" stopIfTrue="1">
      <formula>D7=Código2</formula>
    </cfRule>
  </conditionalFormatting>
  <conditionalFormatting sqref="D7:AF11">
    <cfRule type="expression" dxfId="125" priority="3" stopIfTrue="1">
      <formula>D7=Código5</formula>
    </cfRule>
    <cfRule type="expression" dxfId="124" priority="4" stopIfTrue="1">
      <formula>D7=Código4</formula>
    </cfRule>
    <cfRule type="expression" dxfId="123" priority="5" stopIfTrue="1">
      <formula>D7=Código3</formula>
    </cfRule>
    <cfRule type="expression" dxfId="122" priority="6" stopIfTrue="1">
      <formula>D7=Código1</formula>
    </cfRule>
  </conditionalFormatting>
  <dataValidations count="1">
    <dataValidation type="list" errorStyle="warning" allowBlank="1" showInputMessage="1" showErrorMessage="1" errorTitle="Ups!" error="O ID de Estudante que introduziu não está na folha Lista de Estudantes. Pode clicar em Sim para usar os dados que introduziu, mas esse ID de Estudante não estará disponível na folha Relatório de Presenças dos Estudantes." sqref="B7:B11" xr:uid="{00000000-0002-0000-0D00-000000000000}">
      <formula1>IDDeAluno</formula1>
    </dataValidation>
  </dataValidations>
  <printOptions horizontalCentered="1"/>
  <pageMargins left="0.5" right="0.5" top="0.75" bottom="0.75" header="0.3" footer="0.3"/>
  <pageSetup paperSize="9" scale="58" fitToHeight="0" orientation="landscape" verticalDpi="12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F36FAEC-C62D-409B-BB81-2770CD5BFB3E}">
            <x14:dataBar minLength="0" maxLength="100" border="1" negativeBarBorderColorSameAsPositive="0">
              <x14:cfvo type="autoMin"/>
              <x14:cfvo type="num">
                <xm:f>DATEDIF(DATE(CalendárioAnual,2,1),DATE(CalendárioAnual,3,1),"d")</xm:f>
              </x14:cfvo>
              <x14:borderColor theme="4"/>
              <x14:negativeFillColor rgb="FFFF0000"/>
              <x14:negativeBorderColor rgb="FFFF0000"/>
              <x14:axisColor rgb="FF000000"/>
            </x14:dataBar>
          </x14:cfRule>
          <xm:sqref>AM7:AM11</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
    <tabColor theme="5"/>
    <pageSetUpPr fitToPage="1"/>
  </sheetPr>
  <dimension ref="A1:AK40"/>
  <sheetViews>
    <sheetView showGridLines="0" zoomScaleNormal="100" workbookViewId="0">
      <selection activeCell="T12" sqref="T12"/>
    </sheetView>
  </sheetViews>
  <sheetFormatPr defaultRowHeight="13.5" x14ac:dyDescent="0.25"/>
  <cols>
    <col min="1" max="1" width="3.42578125" customWidth="1"/>
    <col min="2" max="2" width="15.140625" bestFit="1" customWidth="1"/>
    <col min="3" max="18" width="3.28515625" customWidth="1"/>
    <col min="19" max="22" width="4.5703125" customWidth="1"/>
    <col min="23" max="33" width="3.28515625" customWidth="1"/>
    <col min="34" max="37" width="6.140625" customWidth="1"/>
  </cols>
  <sheetData>
    <row r="1" spans="1:37" ht="33" customHeight="1" x14ac:dyDescent="0.25">
      <c r="A1" s="79" t="str">
        <f>"Relatório de Presenças de "</f>
        <v xml:space="preserve">Relatório de Presenças de </v>
      </c>
      <c r="B1" s="44"/>
      <c r="C1" s="61"/>
      <c r="D1" s="61"/>
      <c r="E1" s="61"/>
      <c r="F1" s="61"/>
      <c r="G1" s="61"/>
      <c r="H1" s="61"/>
      <c r="I1" s="78" t="str">
        <f>D4</f>
        <v>Alexandre António Magão Pontes Neves</v>
      </c>
      <c r="J1" s="44"/>
      <c r="K1" s="44"/>
      <c r="L1" s="44"/>
      <c r="M1" s="61"/>
      <c r="N1" s="59"/>
      <c r="O1" s="59"/>
      <c r="P1" s="59"/>
      <c r="Q1" s="59"/>
      <c r="R1" s="59"/>
      <c r="S1" s="59"/>
      <c r="T1" s="59"/>
      <c r="U1" s="59"/>
      <c r="V1" s="59"/>
      <c r="W1" s="59"/>
      <c r="X1" s="59"/>
      <c r="Y1" s="59"/>
      <c r="Z1" s="59"/>
      <c r="AA1" s="59"/>
      <c r="AB1" s="59"/>
      <c r="AC1" s="59"/>
      <c r="AD1" s="59"/>
      <c r="AE1" s="59"/>
      <c r="AF1" s="59"/>
      <c r="AG1" s="59"/>
      <c r="AH1" s="59"/>
      <c r="AI1" s="59"/>
      <c r="AJ1" s="59"/>
      <c r="AK1" s="60"/>
    </row>
    <row r="2" spans="1:37" ht="15" customHeight="1" x14ac:dyDescent="0.25"/>
    <row r="3" spans="1:37" ht="17.25" customHeight="1" x14ac:dyDescent="0.25">
      <c r="B3" s="92" t="s">
        <v>34</v>
      </c>
      <c r="C3" s="93"/>
      <c r="D3" s="130" t="s">
        <v>35</v>
      </c>
      <c r="E3" s="130"/>
      <c r="F3" s="130"/>
      <c r="G3" s="130"/>
      <c r="H3" s="130"/>
      <c r="I3" s="130"/>
      <c r="J3" s="130"/>
      <c r="K3" s="130"/>
      <c r="L3" s="130"/>
      <c r="M3" s="130"/>
      <c r="N3" s="130"/>
      <c r="O3" s="130"/>
      <c r="P3" s="130" t="s">
        <v>41</v>
      </c>
      <c r="Q3" s="130"/>
      <c r="R3" s="130"/>
      <c r="S3" s="130" t="s">
        <v>42</v>
      </c>
      <c r="T3" s="130"/>
      <c r="U3" s="130"/>
      <c r="V3" s="130"/>
      <c r="W3" s="130" t="s">
        <v>43</v>
      </c>
      <c r="X3" s="130"/>
      <c r="Y3" s="130"/>
      <c r="Z3" s="130"/>
      <c r="AA3" s="130"/>
      <c r="AB3" s="130"/>
      <c r="AC3" s="130"/>
      <c r="AD3" s="130"/>
      <c r="AE3" s="133" t="s">
        <v>44</v>
      </c>
      <c r="AF3" s="133"/>
      <c r="AG3" s="130" t="s">
        <v>45</v>
      </c>
      <c r="AH3" s="130"/>
      <c r="AI3" s="130"/>
      <c r="AJ3" s="130"/>
      <c r="AK3" s="101" t="s">
        <v>46</v>
      </c>
    </row>
    <row r="4" spans="1:37" ht="17.25" customHeight="1" x14ac:dyDescent="0.25">
      <c r="B4" s="128">
        <v>1</v>
      </c>
      <c r="C4" s="128"/>
      <c r="D4" s="129" t="str">
        <f>IFERROR(VLOOKUP(ProcurarAluno,ListaDeAlunos[],18,FALSE),"")</f>
        <v>Alexandre António Magão Pontes Neves</v>
      </c>
      <c r="E4" s="129"/>
      <c r="F4" s="129"/>
      <c r="G4" s="129"/>
      <c r="H4" s="129"/>
      <c r="I4" s="129"/>
      <c r="J4" s="129"/>
      <c r="K4" s="129"/>
      <c r="L4" s="129"/>
      <c r="M4" s="129"/>
      <c r="N4" s="129"/>
      <c r="O4" s="129"/>
      <c r="P4" s="136" t="str">
        <f>IFERROR(VLOOKUP(ProcurarAluno,ListaDeAlunos[],4,FALSE),"")</f>
        <v>M</v>
      </c>
      <c r="Q4" s="136"/>
      <c r="R4" s="136"/>
      <c r="S4" s="137">
        <f>IFERROR(VLOOKUP(ProcurarAluno,ListaDeAlunos[],5,FALSE),"")</f>
        <v>35517</v>
      </c>
      <c r="T4" s="137"/>
      <c r="U4" s="137"/>
      <c r="V4" s="137"/>
      <c r="W4" s="128" t="s">
        <v>92</v>
      </c>
      <c r="X4" s="128"/>
      <c r="Y4" s="128"/>
      <c r="Z4" s="128"/>
      <c r="AA4" s="128"/>
      <c r="AB4" s="128"/>
      <c r="AC4" s="128"/>
      <c r="AD4" s="128"/>
      <c r="AE4" s="134">
        <v>7</v>
      </c>
      <c r="AF4" s="134"/>
      <c r="AG4" s="128" t="s">
        <v>93</v>
      </c>
      <c r="AH4" s="128"/>
      <c r="AI4" s="128"/>
      <c r="AJ4" s="128"/>
      <c r="AK4" s="94">
        <v>123</v>
      </c>
    </row>
    <row r="5" spans="1:37" ht="17.25" customHeight="1" x14ac:dyDescent="0.25">
      <c r="B5" s="130" t="s">
        <v>80</v>
      </c>
      <c r="C5" s="130"/>
      <c r="D5" s="130"/>
      <c r="E5" s="130"/>
      <c r="F5" s="130"/>
      <c r="G5" s="130"/>
      <c r="H5" s="130"/>
      <c r="I5" s="130"/>
      <c r="J5" s="130"/>
      <c r="K5" s="130" t="s">
        <v>47</v>
      </c>
      <c r="L5" s="130"/>
      <c r="M5" s="130"/>
      <c r="N5" s="130"/>
      <c r="O5" s="130"/>
      <c r="P5" s="130"/>
      <c r="Q5" s="130"/>
      <c r="R5" s="130"/>
      <c r="S5" s="130"/>
      <c r="T5" s="130"/>
      <c r="U5" s="130"/>
      <c r="V5" s="130"/>
      <c r="W5" s="130" t="s">
        <v>48</v>
      </c>
      <c r="X5" s="130"/>
      <c r="Y5" s="130"/>
      <c r="Z5" s="130"/>
      <c r="AA5" s="130"/>
      <c r="AB5" s="130"/>
      <c r="AC5" s="130"/>
      <c r="AD5" s="130"/>
      <c r="AE5" s="130" t="s">
        <v>49</v>
      </c>
      <c r="AF5" s="130"/>
      <c r="AG5" s="130"/>
      <c r="AH5" s="130"/>
      <c r="AI5" s="130"/>
      <c r="AJ5" s="130"/>
      <c r="AK5" s="130"/>
    </row>
    <row r="6" spans="1:37" ht="17.25" customHeight="1" x14ac:dyDescent="0.25">
      <c r="B6" s="129" t="str">
        <f>IFERROR(VLOOKUP(ProcurarAluno,ListaDeAlunos[],6,FALSE),"")</f>
        <v>Isabel</v>
      </c>
      <c r="C6" s="129"/>
      <c r="D6" s="129"/>
      <c r="E6" s="129"/>
      <c r="F6" s="129"/>
      <c r="G6" s="129"/>
      <c r="H6" s="129"/>
      <c r="I6" s="129"/>
      <c r="J6" s="129"/>
      <c r="K6" s="129" t="str">
        <f>IFERROR(VLOOKUP(ProcurarAluno,ListaDeAlunos[],7,FALSE),"")</f>
        <v>Neves</v>
      </c>
      <c r="L6" s="129"/>
      <c r="M6" s="129"/>
      <c r="N6" s="129"/>
      <c r="O6" s="129"/>
      <c r="P6" s="129"/>
      <c r="Q6" s="129"/>
      <c r="R6" s="129"/>
      <c r="S6" s="129"/>
      <c r="T6" s="129"/>
      <c r="U6" s="129"/>
      <c r="V6" s="129"/>
      <c r="W6" s="135">
        <f>IFERROR(VLOOKUP(ProcurarAluno,ListaDeAlunos[],8,FALSE),"")</f>
        <v>1235550134</v>
      </c>
      <c r="X6" s="135"/>
      <c r="Y6" s="135"/>
      <c r="Z6" s="135"/>
      <c r="AA6" s="135"/>
      <c r="AB6" s="135"/>
      <c r="AC6" s="135"/>
      <c r="AD6" s="135"/>
      <c r="AE6" s="135">
        <f>IFERROR(VLOOKUP(ProcurarAluno,ListaDeAlunos[],9,FALSE),"")</f>
        <v>2345550134</v>
      </c>
      <c r="AF6" s="135"/>
      <c r="AG6" s="135"/>
      <c r="AH6" s="135"/>
      <c r="AI6" s="135"/>
      <c r="AJ6" s="135"/>
      <c r="AK6" s="135"/>
    </row>
    <row r="7" spans="1:37" ht="17.25" customHeight="1" x14ac:dyDescent="0.25">
      <c r="B7" s="130" t="s">
        <v>81</v>
      </c>
      <c r="C7" s="130"/>
      <c r="D7" s="130"/>
      <c r="E7" s="130"/>
      <c r="F7" s="130"/>
      <c r="G7" s="130"/>
      <c r="H7" s="130"/>
      <c r="I7" s="130"/>
      <c r="J7" s="130"/>
      <c r="K7" s="130" t="s">
        <v>47</v>
      </c>
      <c r="L7" s="130"/>
      <c r="M7" s="130"/>
      <c r="N7" s="130"/>
      <c r="O7" s="130"/>
      <c r="P7" s="130"/>
      <c r="Q7" s="130"/>
      <c r="R7" s="130"/>
      <c r="S7" s="130"/>
      <c r="T7" s="130"/>
      <c r="U7" s="130"/>
      <c r="V7" s="130"/>
      <c r="W7" s="130" t="s">
        <v>48</v>
      </c>
      <c r="X7" s="130"/>
      <c r="Y7" s="130"/>
      <c r="Z7" s="130"/>
      <c r="AA7" s="130"/>
      <c r="AB7" s="130"/>
      <c r="AC7" s="130"/>
      <c r="AD7" s="130"/>
      <c r="AE7" s="130" t="s">
        <v>49</v>
      </c>
      <c r="AF7" s="130"/>
      <c r="AG7" s="130"/>
      <c r="AH7" s="130"/>
      <c r="AI7" s="130"/>
      <c r="AJ7" s="130"/>
      <c r="AK7" s="130"/>
    </row>
    <row r="8" spans="1:37" ht="17.25" customHeight="1" x14ac:dyDescent="0.25">
      <c r="B8" s="129" t="str">
        <f>IFERROR(VLOOKUP(ProcurarAluno,ListaDeAlunos[],10,FALSE),"")</f>
        <v>Carlos Grilo</v>
      </c>
      <c r="C8" s="129"/>
      <c r="D8" s="129"/>
      <c r="E8" s="129"/>
      <c r="F8" s="129"/>
      <c r="G8" s="129"/>
      <c r="H8" s="129"/>
      <c r="I8" s="129"/>
      <c r="J8" s="129"/>
      <c r="K8" s="129" t="str">
        <f>IFERROR(VLOOKUP(ProcurarAluno,ListaDeAlunos[],11,FALSE),"")</f>
        <v>Pai</v>
      </c>
      <c r="L8" s="129"/>
      <c r="M8" s="129"/>
      <c r="N8" s="129"/>
      <c r="O8" s="129"/>
      <c r="P8" s="129"/>
      <c r="Q8" s="129"/>
      <c r="R8" s="129"/>
      <c r="S8" s="129"/>
      <c r="T8" s="129"/>
      <c r="U8" s="129"/>
      <c r="V8" s="129"/>
      <c r="W8" s="135">
        <f>IFERROR(VLOOKUP(ProcurarAluno,ListaDeAlunos[],12,FALSE),"")</f>
        <v>1235550134</v>
      </c>
      <c r="X8" s="135"/>
      <c r="Y8" s="135"/>
      <c r="Z8" s="135"/>
      <c r="AA8" s="135"/>
      <c r="AB8" s="135"/>
      <c r="AC8" s="135"/>
      <c r="AD8" s="135"/>
      <c r="AE8" s="135">
        <f>IFERROR(VLOOKUP(ProcurarAluno,ListaDeAlunos[],13,FALSE),"")</f>
        <v>2345550134</v>
      </c>
      <c r="AF8" s="135"/>
      <c r="AG8" s="135"/>
      <c r="AH8" s="135"/>
      <c r="AI8" s="135"/>
      <c r="AJ8" s="135"/>
      <c r="AK8" s="135"/>
    </row>
    <row r="9" spans="1:37" ht="17.25" customHeight="1" x14ac:dyDescent="0.25">
      <c r="B9" s="130" t="s">
        <v>50</v>
      </c>
      <c r="C9" s="130"/>
      <c r="D9" s="130"/>
      <c r="E9" s="130"/>
      <c r="F9" s="130"/>
      <c r="G9" s="130"/>
      <c r="H9" s="130"/>
      <c r="I9" s="130"/>
      <c r="J9" s="130"/>
      <c r="K9" s="130" t="s">
        <v>47</v>
      </c>
      <c r="L9" s="130"/>
      <c r="M9" s="130"/>
      <c r="N9" s="130"/>
      <c r="O9" s="130"/>
      <c r="P9" s="130"/>
      <c r="Q9" s="130"/>
      <c r="R9" s="130"/>
      <c r="S9" s="130"/>
      <c r="T9" s="130"/>
      <c r="U9" s="130"/>
      <c r="V9" s="130"/>
      <c r="W9" s="130" t="s">
        <v>48</v>
      </c>
      <c r="X9" s="130"/>
      <c r="Y9" s="130"/>
      <c r="Z9" s="130"/>
      <c r="AA9" s="130"/>
      <c r="AB9" s="130"/>
      <c r="AC9" s="130"/>
      <c r="AD9" s="130"/>
      <c r="AE9" s="130" t="s">
        <v>49</v>
      </c>
      <c r="AF9" s="130"/>
      <c r="AG9" s="130"/>
      <c r="AH9" s="130"/>
      <c r="AI9" s="130"/>
      <c r="AJ9" s="130"/>
      <c r="AK9" s="130"/>
    </row>
    <row r="10" spans="1:37" ht="17.25" customHeight="1" x14ac:dyDescent="0.25">
      <c r="B10" s="129" t="str">
        <f>IFERROR(VLOOKUP(ProcurarAluno,ListaDeAlunos[],14,FALSE),"")</f>
        <v>Nuno Farinha</v>
      </c>
      <c r="C10" s="129"/>
      <c r="D10" s="129"/>
      <c r="E10" s="129"/>
      <c r="F10" s="129"/>
      <c r="G10" s="129"/>
      <c r="H10" s="129"/>
      <c r="I10" s="129"/>
      <c r="J10" s="129"/>
      <c r="K10" s="129" t="str">
        <f>IFERROR(VLOOKUP(ProcurarAluno,ListaDeAlunos[],15,FALSE),"")</f>
        <v>Avô</v>
      </c>
      <c r="L10" s="129"/>
      <c r="M10" s="129"/>
      <c r="N10" s="129"/>
      <c r="O10" s="129"/>
      <c r="P10" s="129"/>
      <c r="Q10" s="129"/>
      <c r="R10" s="129"/>
      <c r="S10" s="129"/>
      <c r="T10" s="129"/>
      <c r="U10" s="129"/>
      <c r="V10" s="129"/>
      <c r="W10" s="135">
        <f>IFERROR(VLOOKUP(ProcurarAluno,ListaDeAlunos[],16,FALSE),"")</f>
        <v>7895550189</v>
      </c>
      <c r="X10" s="135"/>
      <c r="Y10" s="135"/>
      <c r="Z10" s="135"/>
      <c r="AA10" s="135"/>
      <c r="AB10" s="135"/>
      <c r="AC10" s="135"/>
      <c r="AD10" s="135"/>
      <c r="AE10" s="135">
        <f>IFERROR(VLOOKUP(ProcurarAluno,ListaDeAlunos[],17,FALSE),"")</f>
        <v>7895550134</v>
      </c>
      <c r="AF10" s="135"/>
      <c r="AG10" s="135"/>
      <c r="AH10" s="135"/>
      <c r="AI10" s="135"/>
      <c r="AJ10" s="135"/>
      <c r="AK10" s="135"/>
    </row>
    <row r="11" spans="1:37" ht="10.5" customHeight="1" x14ac:dyDescent="0.25">
      <c r="B11" s="62"/>
      <c r="C11" s="62"/>
      <c r="D11" s="62"/>
      <c r="E11" s="62"/>
      <c r="F11" s="62"/>
      <c r="G11" s="62"/>
      <c r="H11" s="62"/>
      <c r="I11" s="62"/>
      <c r="J11" s="62"/>
      <c r="K11" s="62"/>
      <c r="L11" s="62"/>
      <c r="M11" s="62"/>
      <c r="N11" s="62"/>
      <c r="O11" s="62"/>
      <c r="P11" s="62"/>
      <c r="Q11" s="62"/>
      <c r="R11" s="62"/>
      <c r="S11" s="62"/>
      <c r="T11" s="62"/>
      <c r="U11" s="62"/>
      <c r="V11" s="62"/>
      <c r="W11" s="63"/>
      <c r="X11" s="63"/>
      <c r="Y11" s="63"/>
      <c r="Z11" s="63"/>
      <c r="AA11" s="63"/>
      <c r="AB11" s="63"/>
      <c r="AC11" s="63"/>
      <c r="AD11" s="63"/>
      <c r="AE11" s="63"/>
      <c r="AF11" s="63"/>
      <c r="AG11" s="63"/>
      <c r="AH11" s="63"/>
      <c r="AI11" s="63"/>
      <c r="AJ11" s="63"/>
      <c r="AK11" s="63"/>
    </row>
    <row r="12" spans="1:37" ht="15.75" customHeight="1" x14ac:dyDescent="0.3">
      <c r="B12" s="69" t="str">
        <f>agosto!C3</f>
        <v xml:space="preserve">CHAVE DE CORES </v>
      </c>
      <c r="C12" s="70" t="str">
        <f>agosto!D3</f>
        <v>T</v>
      </c>
      <c r="D12" s="69" t="str">
        <f>agosto!E3</f>
        <v>Atrasado</v>
      </c>
      <c r="E12" s="69"/>
      <c r="F12" s="69"/>
      <c r="G12" s="71" t="str">
        <f>agosto!H3</f>
        <v>E</v>
      </c>
      <c r="H12" s="69" t="str">
        <f>agosto!I3</f>
        <v>Justificado</v>
      </c>
      <c r="I12" s="69"/>
      <c r="J12" s="69"/>
      <c r="K12" s="72" t="str">
        <f>agosto!L3</f>
        <v>U</v>
      </c>
      <c r="L12" s="69" t="str">
        <f>agosto!M3</f>
        <v>Não justificado</v>
      </c>
      <c r="M12" s="69"/>
      <c r="N12" s="69"/>
      <c r="O12" s="69"/>
      <c r="P12" s="73" t="str">
        <f>agosto!P3</f>
        <v>P</v>
      </c>
      <c r="Q12" s="69" t="str">
        <f>agosto!Q3</f>
        <v>Presente</v>
      </c>
      <c r="R12" s="69"/>
      <c r="S12" s="69"/>
      <c r="T12" s="74" t="str">
        <f>agosto!T3</f>
        <v>N</v>
      </c>
      <c r="U12" s="75" t="str">
        <f>agosto!U3</f>
        <v>Não há Escola</v>
      </c>
      <c r="V12" s="76"/>
      <c r="W12" s="77"/>
      <c r="X12" s="63"/>
      <c r="Y12" s="63"/>
      <c r="Z12" s="63"/>
      <c r="AA12" s="63"/>
      <c r="AB12" s="63"/>
      <c r="AC12" s="63"/>
      <c r="AD12" s="63"/>
      <c r="AE12" s="63"/>
      <c r="AF12" s="63"/>
      <c r="AG12" s="63"/>
      <c r="AH12" s="63"/>
      <c r="AI12" s="63"/>
      <c r="AJ12" s="63"/>
      <c r="AK12" s="63"/>
    </row>
    <row r="13" spans="1:37" ht="6" customHeight="1" x14ac:dyDescent="0.25"/>
    <row r="14" spans="1:37" ht="16.5" customHeight="1" x14ac:dyDescent="0.25">
      <c r="B14" s="131" t="s">
        <v>87</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27" t="s">
        <v>57</v>
      </c>
      <c r="AI14" s="127"/>
      <c r="AJ14" s="127"/>
      <c r="AK14" s="127"/>
    </row>
    <row r="15" spans="1:37" ht="14.25" thickBot="1" x14ac:dyDescent="0.3">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02" t="s">
        <v>36</v>
      </c>
      <c r="AI15" s="103" t="s">
        <v>38</v>
      </c>
      <c r="AJ15" s="104" t="s">
        <v>37</v>
      </c>
      <c r="AK15" s="105" t="s">
        <v>31</v>
      </c>
    </row>
    <row r="16" spans="1:37" ht="14.25" x14ac:dyDescent="0.25">
      <c r="B16" s="126" t="s">
        <v>58</v>
      </c>
      <c r="C16" s="95">
        <v>1</v>
      </c>
      <c r="D16" s="95">
        <v>2</v>
      </c>
      <c r="E16" s="95">
        <v>3</v>
      </c>
      <c r="F16" s="95">
        <v>4</v>
      </c>
      <c r="G16" s="95">
        <v>5</v>
      </c>
      <c r="H16" s="95">
        <v>6</v>
      </c>
      <c r="I16" s="95">
        <v>7</v>
      </c>
      <c r="J16" s="95">
        <v>8</v>
      </c>
      <c r="K16" s="95">
        <v>9</v>
      </c>
      <c r="L16" s="95">
        <v>10</v>
      </c>
      <c r="M16" s="95">
        <v>11</v>
      </c>
      <c r="N16" s="95">
        <v>12</v>
      </c>
      <c r="O16" s="95">
        <v>13</v>
      </c>
      <c r="P16" s="95">
        <v>14</v>
      </c>
      <c r="Q16" s="95">
        <v>15</v>
      </c>
      <c r="R16" s="95">
        <v>16</v>
      </c>
      <c r="S16" s="95">
        <v>17</v>
      </c>
      <c r="T16" s="95">
        <v>18</v>
      </c>
      <c r="U16" s="95">
        <v>19</v>
      </c>
      <c r="V16" s="95">
        <v>20</v>
      </c>
      <c r="W16" s="95">
        <v>21</v>
      </c>
      <c r="X16" s="95">
        <v>22</v>
      </c>
      <c r="Y16" s="95">
        <v>23</v>
      </c>
      <c r="Z16" s="95">
        <v>24</v>
      </c>
      <c r="AA16" s="95">
        <v>25</v>
      </c>
      <c r="AB16" s="95">
        <v>26</v>
      </c>
      <c r="AC16" s="95">
        <v>27</v>
      </c>
      <c r="AD16" s="95">
        <v>28</v>
      </c>
      <c r="AE16" s="95">
        <v>29</v>
      </c>
      <c r="AF16" s="95">
        <v>30</v>
      </c>
      <c r="AG16" s="95">
        <v>31</v>
      </c>
      <c r="AH16" s="121">
        <f>COUNTIF($D17:$AH17,Código1)</f>
        <v>2</v>
      </c>
      <c r="AI16" s="121">
        <f>COUNTIF($D17:$AH17,Código2)</f>
        <v>1</v>
      </c>
      <c r="AJ16" s="121">
        <f>COUNTIF($D17:$AH17,Código3)</f>
        <v>0</v>
      </c>
      <c r="AK16" s="121">
        <f>COUNTIF($D17:$AH17,Código4)</f>
        <v>19</v>
      </c>
    </row>
    <row r="17" spans="2:37" ht="14.25" x14ac:dyDescent="0.25">
      <c r="B17" s="123"/>
      <c r="C17" s="96" t="str">
        <f>IFERROR(VLOOKUP(ProcurarAluno,PresençasEmAgosto[],3,FALSE),"")</f>
        <v>P</v>
      </c>
      <c r="D17" s="96" t="str">
        <f>IFERROR(VLOOKUP(ProcurarAluno,PresençasEmAgosto[],4,FALSE),"")</f>
        <v>P</v>
      </c>
      <c r="E17" s="96" t="str">
        <f>IFERROR(VLOOKUP(ProcurarAluno,PresençasEmAgosto[],5,FALSE),"")</f>
        <v>T</v>
      </c>
      <c r="F17" s="96" t="str">
        <f>IFERROR(VLOOKUP(ProcurarAluno,PresençasEmAgosto[],6,FALSE),"")</f>
        <v>T</v>
      </c>
      <c r="G17" s="96" t="str">
        <f>IFERROR(VLOOKUP(ProcurarAluno,PresençasEmAgosto[],7,FALSE),"")</f>
        <v>P</v>
      </c>
      <c r="H17" s="96" t="str">
        <f>IFERROR(VLOOKUP(ProcurarAluno,PresençasEmAgosto[],8,FALSE),"")</f>
        <v>N</v>
      </c>
      <c r="I17" s="96" t="str">
        <f>IFERROR(VLOOKUP(ProcurarAluno,PresençasEmAgosto[],9,FALSE),"")</f>
        <v>N</v>
      </c>
      <c r="J17" s="96" t="str">
        <f>IFERROR(VLOOKUP(ProcurarAluno,PresençasEmAgosto[],10,FALSE),"")</f>
        <v>P</v>
      </c>
      <c r="K17" s="96" t="str">
        <f>IFERROR(VLOOKUP(ProcurarAluno,PresençasEmAgosto[],11,FALSE),"")</f>
        <v>P</v>
      </c>
      <c r="L17" s="96" t="str">
        <f>IFERROR(VLOOKUP(ProcurarAluno,PresençasEmAgosto[],12,FALSE),"")</f>
        <v>E</v>
      </c>
      <c r="M17" s="96" t="str">
        <f>IFERROR(VLOOKUP(ProcurarAluno,PresençasEmAgosto[],13,FALSE),"")</f>
        <v>P</v>
      </c>
      <c r="N17" s="96" t="str">
        <f>IFERROR(VLOOKUP(ProcurarAluno,PresençasEmAgosto[],14,FALSE),"")</f>
        <v>P</v>
      </c>
      <c r="O17" s="96" t="str">
        <f>IFERROR(VLOOKUP(ProcurarAluno,PresençasEmAgosto[],15,FALSE),"")</f>
        <v>N</v>
      </c>
      <c r="P17" s="96" t="str">
        <f>IFERROR(VLOOKUP(ProcurarAluno,PresençasEmAgosto[],16,FALSE),"")</f>
        <v>N</v>
      </c>
      <c r="Q17" s="96" t="str">
        <f>IFERROR(VLOOKUP(ProcurarAluno,PresençasEmAgosto[],17,FALSE),"")</f>
        <v>P</v>
      </c>
      <c r="R17" s="96" t="str">
        <f>IFERROR(VLOOKUP(ProcurarAluno,PresençasEmAgosto[],18,FALSE),"")</f>
        <v>P</v>
      </c>
      <c r="S17" s="96" t="str">
        <f>IFERROR(VLOOKUP(ProcurarAluno,PresençasEmAgosto[],19,FALSE),"")</f>
        <v>P</v>
      </c>
      <c r="T17" s="96" t="str">
        <f>IFERROR(VLOOKUP(ProcurarAluno,PresençasEmAgosto[],20,FALSE),"")</f>
        <v>P</v>
      </c>
      <c r="U17" s="96" t="str">
        <f>IFERROR(VLOOKUP(ProcurarAluno,PresençasEmAgosto[],21,FALSE),"")</f>
        <v>P</v>
      </c>
      <c r="V17" s="96" t="str">
        <f>IFERROR(VLOOKUP(ProcurarAluno,PresençasEmAgosto[],22,FALSE),"")</f>
        <v>N</v>
      </c>
      <c r="W17" s="96" t="str">
        <f>IFERROR(VLOOKUP(ProcurarAluno,PresençasEmAgosto[],23,FALSE),"")</f>
        <v>N</v>
      </c>
      <c r="X17" s="96" t="str">
        <f>IFERROR(VLOOKUP(ProcurarAluno,PresençasEmAgosto[],24,FALSE),"")</f>
        <v>P</v>
      </c>
      <c r="Y17" s="96" t="str">
        <f>IFERROR(VLOOKUP(ProcurarAluno,PresençasEmAgosto[],25,FALSE),"")</f>
        <v>P</v>
      </c>
      <c r="Z17" s="96" t="str">
        <f>IFERROR(VLOOKUP(ProcurarAluno,PresençasEmAgosto[],26,FALSE),"")</f>
        <v>P</v>
      </c>
      <c r="AA17" s="96" t="str">
        <f>IFERROR(VLOOKUP(ProcurarAluno,PresençasEmAgosto[],27,FALSE),"")</f>
        <v>P</v>
      </c>
      <c r="AB17" s="96" t="str">
        <f>IFERROR(VLOOKUP(ProcurarAluno,PresençasEmAgosto[],28,FALSE),"")</f>
        <v>P</v>
      </c>
      <c r="AC17" s="96" t="str">
        <f>IFERROR(VLOOKUP(ProcurarAluno,PresençasEmAgosto[],29,FALSE),"")</f>
        <v>N</v>
      </c>
      <c r="AD17" s="96" t="str">
        <f>IFERROR(VLOOKUP(ProcurarAluno,PresençasEmAgosto[],30,FALSE),"")</f>
        <v>N</v>
      </c>
      <c r="AE17" s="96" t="str">
        <f>IFERROR(VLOOKUP(ProcurarAluno,PresençasEmAgosto[],31,FALSE),"")</f>
        <v>P</v>
      </c>
      <c r="AF17" s="96" t="str">
        <f>IFERROR(VLOOKUP(ProcurarAluno,PresençasEmAgosto[],32,FALSE),"")</f>
        <v>P</v>
      </c>
      <c r="AG17" s="96" t="str">
        <f>IFERROR(VLOOKUP(ProcurarAluno,PresençasEmAgosto[],33,FALSE),"")</f>
        <v>P</v>
      </c>
      <c r="AH17" s="124"/>
      <c r="AI17" s="124"/>
      <c r="AJ17" s="124"/>
      <c r="AK17" s="124"/>
    </row>
    <row r="18" spans="2:37" ht="14.25" x14ac:dyDescent="0.25">
      <c r="B18" s="123" t="s">
        <v>59</v>
      </c>
      <c r="C18" s="97">
        <v>1</v>
      </c>
      <c r="D18" s="97">
        <v>2</v>
      </c>
      <c r="E18" s="97">
        <v>3</v>
      </c>
      <c r="F18" s="97">
        <v>4</v>
      </c>
      <c r="G18" s="97">
        <v>5</v>
      </c>
      <c r="H18" s="97">
        <v>6</v>
      </c>
      <c r="I18" s="97">
        <v>7</v>
      </c>
      <c r="J18" s="97">
        <v>8</v>
      </c>
      <c r="K18" s="97">
        <v>9</v>
      </c>
      <c r="L18" s="97">
        <v>10</v>
      </c>
      <c r="M18" s="97">
        <v>11</v>
      </c>
      <c r="N18" s="97">
        <v>12</v>
      </c>
      <c r="O18" s="97">
        <v>13</v>
      </c>
      <c r="P18" s="97">
        <v>14</v>
      </c>
      <c r="Q18" s="97">
        <v>15</v>
      </c>
      <c r="R18" s="97">
        <v>16</v>
      </c>
      <c r="S18" s="97">
        <v>17</v>
      </c>
      <c r="T18" s="97">
        <v>18</v>
      </c>
      <c r="U18" s="97">
        <v>19</v>
      </c>
      <c r="V18" s="97">
        <v>20</v>
      </c>
      <c r="W18" s="97">
        <v>21</v>
      </c>
      <c r="X18" s="97">
        <v>22</v>
      </c>
      <c r="Y18" s="97">
        <v>23</v>
      </c>
      <c r="Z18" s="97">
        <v>24</v>
      </c>
      <c r="AA18" s="97">
        <v>25</v>
      </c>
      <c r="AB18" s="97">
        <v>26</v>
      </c>
      <c r="AC18" s="97">
        <v>27</v>
      </c>
      <c r="AD18" s="97">
        <v>28</v>
      </c>
      <c r="AE18" s="97">
        <v>29</v>
      </c>
      <c r="AF18" s="97">
        <v>30</v>
      </c>
      <c r="AG18" s="97"/>
      <c r="AH18" s="124">
        <f>COUNTIF($D19:$AH19,Código1)</f>
        <v>0</v>
      </c>
      <c r="AI18" s="124">
        <f>COUNTIF($D19:$AH19,Código2)</f>
        <v>0</v>
      </c>
      <c r="AJ18" s="124">
        <f>COUNTIF($D19:$AH19,Código3)</f>
        <v>0</v>
      </c>
      <c r="AK18" s="124">
        <f>COUNTIF($D19:$AH19,Código4)</f>
        <v>0</v>
      </c>
    </row>
    <row r="19" spans="2:37" ht="14.25" x14ac:dyDescent="0.25">
      <c r="B19" s="123"/>
      <c r="C19" s="96" t="str">
        <f>IFERROR(VLOOKUP(ProcurarAluno,PresençasEmSetembro[],3,FALSE),"")</f>
        <v/>
      </c>
      <c r="D19" s="96" t="str">
        <f>IFERROR(VLOOKUP(ProcurarAluno,PresençasEmSetembro[],4,FALSE),"")</f>
        <v/>
      </c>
      <c r="E19" s="96" t="str">
        <f>IFERROR(VLOOKUP(ProcurarAluno,PresençasEmSetembro[],5,FALSE),"")</f>
        <v/>
      </c>
      <c r="F19" s="96" t="str">
        <f>IFERROR(VLOOKUP(ProcurarAluno,PresençasEmSetembro[],6,FALSE),"")</f>
        <v/>
      </c>
      <c r="G19" s="96" t="str">
        <f>IFERROR(VLOOKUP(ProcurarAluno,PresençasEmSetembro[],7,FALSE),"")</f>
        <v/>
      </c>
      <c r="H19" s="96" t="str">
        <f>IFERROR(VLOOKUP(ProcurarAluno,PresençasEmSetembro[],8,FALSE),"")</f>
        <v/>
      </c>
      <c r="I19" s="96" t="str">
        <f>IFERROR(VLOOKUP(ProcurarAluno,PresençasEmSetembro[],9,FALSE),"")</f>
        <v/>
      </c>
      <c r="J19" s="96" t="str">
        <f>IFERROR(VLOOKUP(ProcurarAluno,PresençasEmSetembro[],10,FALSE),"")</f>
        <v/>
      </c>
      <c r="K19" s="96" t="str">
        <f>IFERROR(VLOOKUP(ProcurarAluno,PresençasEmSetembro[],11,FALSE),"")</f>
        <v/>
      </c>
      <c r="L19" s="96" t="str">
        <f>IFERROR(VLOOKUP(ProcurarAluno,PresençasEmSetembro[],12,FALSE),"")</f>
        <v/>
      </c>
      <c r="M19" s="96" t="str">
        <f>IFERROR(VLOOKUP(ProcurarAluno,PresençasEmSetembro[],13,FALSE),"")</f>
        <v/>
      </c>
      <c r="N19" s="96" t="str">
        <f>IFERROR(VLOOKUP(ProcurarAluno,PresençasEmSetembro[],14,FALSE),"")</f>
        <v/>
      </c>
      <c r="O19" s="96" t="str">
        <f>IFERROR(VLOOKUP(ProcurarAluno,PresençasEmSetembro[],15,FALSE),"")</f>
        <v/>
      </c>
      <c r="P19" s="96" t="str">
        <f>IFERROR(VLOOKUP(ProcurarAluno,PresençasEmSetembro[],16,FALSE),"")</f>
        <v/>
      </c>
      <c r="Q19" s="96" t="str">
        <f>IFERROR(VLOOKUP(ProcurarAluno,PresençasEmSetembro[],17,FALSE),"")</f>
        <v/>
      </c>
      <c r="R19" s="96" t="str">
        <f>IFERROR(VLOOKUP(ProcurarAluno,PresençasEmSetembro[],18,FALSE),"")</f>
        <v/>
      </c>
      <c r="S19" s="96" t="str">
        <f>IFERROR(VLOOKUP(ProcurarAluno,PresençasEmSetembro[],19,FALSE),"")</f>
        <v/>
      </c>
      <c r="T19" s="96" t="str">
        <f>IFERROR(VLOOKUP(ProcurarAluno,PresençasEmSetembro[],20,FALSE),"")</f>
        <v/>
      </c>
      <c r="U19" s="96" t="str">
        <f>IFERROR(VLOOKUP(ProcurarAluno,PresençasEmSetembro[],21,FALSE),"")</f>
        <v/>
      </c>
      <c r="V19" s="96" t="str">
        <f>IFERROR(VLOOKUP(ProcurarAluno,PresençasEmSetembro[],22,FALSE),"")</f>
        <v/>
      </c>
      <c r="W19" s="96" t="str">
        <f>IFERROR(VLOOKUP(ProcurarAluno,PresençasEmSetembro[],23,FALSE),"")</f>
        <v/>
      </c>
      <c r="X19" s="96" t="str">
        <f>IFERROR(VLOOKUP(ProcurarAluno,PresençasEmSetembro[],24,FALSE),"")</f>
        <v/>
      </c>
      <c r="Y19" s="96" t="str">
        <f>IFERROR(VLOOKUP(ProcurarAluno,PresençasEmSetembro[],25,FALSE),"")</f>
        <v/>
      </c>
      <c r="Z19" s="96" t="str">
        <f>IFERROR(VLOOKUP(ProcurarAluno,PresençasEmSetembro[],26,FALSE),"")</f>
        <v/>
      </c>
      <c r="AA19" s="96" t="str">
        <f>IFERROR(VLOOKUP(ProcurarAluno,PresençasEmSetembro[],27,FALSE),"")</f>
        <v/>
      </c>
      <c r="AB19" s="96" t="str">
        <f>IFERROR(VLOOKUP(ProcurarAluno,PresençasEmSetembro[],28,FALSE),"")</f>
        <v/>
      </c>
      <c r="AC19" s="96" t="str">
        <f>IFERROR(VLOOKUP(ProcurarAluno,PresençasEmSetembro[],29,FALSE),"")</f>
        <v/>
      </c>
      <c r="AD19" s="96" t="str">
        <f>IFERROR(VLOOKUP(ProcurarAluno,PresençasEmSetembro[],30,FALSE),"")</f>
        <v/>
      </c>
      <c r="AE19" s="96" t="str">
        <f>IFERROR(VLOOKUP(ProcurarAluno,PresençasEmSetembro[],31,FALSE),"")</f>
        <v/>
      </c>
      <c r="AF19" s="96" t="str">
        <f>IFERROR(VLOOKUP(ProcurarAluno,PresençasEmSetembro[],32,FALSE),"")</f>
        <v/>
      </c>
      <c r="AG19" s="96"/>
      <c r="AH19" s="124"/>
      <c r="AI19" s="124"/>
      <c r="AJ19" s="124"/>
      <c r="AK19" s="124"/>
    </row>
    <row r="20" spans="2:37" ht="14.25" x14ac:dyDescent="0.25">
      <c r="B20" s="123" t="s">
        <v>60</v>
      </c>
      <c r="C20" s="97">
        <v>1</v>
      </c>
      <c r="D20" s="97">
        <v>2</v>
      </c>
      <c r="E20" s="97">
        <v>3</v>
      </c>
      <c r="F20" s="97">
        <v>4</v>
      </c>
      <c r="G20" s="97">
        <v>5</v>
      </c>
      <c r="H20" s="97">
        <v>6</v>
      </c>
      <c r="I20" s="97">
        <v>7</v>
      </c>
      <c r="J20" s="97">
        <v>8</v>
      </c>
      <c r="K20" s="97">
        <v>9</v>
      </c>
      <c r="L20" s="97">
        <v>10</v>
      </c>
      <c r="M20" s="97">
        <v>11</v>
      </c>
      <c r="N20" s="97">
        <v>12</v>
      </c>
      <c r="O20" s="97">
        <v>13</v>
      </c>
      <c r="P20" s="97">
        <v>14</v>
      </c>
      <c r="Q20" s="97">
        <v>15</v>
      </c>
      <c r="R20" s="97">
        <v>16</v>
      </c>
      <c r="S20" s="97">
        <v>17</v>
      </c>
      <c r="T20" s="97">
        <v>18</v>
      </c>
      <c r="U20" s="97">
        <v>19</v>
      </c>
      <c r="V20" s="97">
        <v>20</v>
      </c>
      <c r="W20" s="97">
        <v>21</v>
      </c>
      <c r="X20" s="97">
        <v>22</v>
      </c>
      <c r="Y20" s="97">
        <v>23</v>
      </c>
      <c r="Z20" s="97">
        <v>24</v>
      </c>
      <c r="AA20" s="97">
        <v>25</v>
      </c>
      <c r="AB20" s="97">
        <v>26</v>
      </c>
      <c r="AC20" s="97">
        <v>27</v>
      </c>
      <c r="AD20" s="97">
        <v>28</v>
      </c>
      <c r="AE20" s="97">
        <v>29</v>
      </c>
      <c r="AF20" s="97">
        <v>30</v>
      </c>
      <c r="AG20" s="97">
        <v>31</v>
      </c>
      <c r="AH20" s="124">
        <f>COUNTIF($D21:$AH21,Código1)</f>
        <v>0</v>
      </c>
      <c r="AI20" s="124">
        <f>COUNTIF($D21:$AH21,Código2)</f>
        <v>0</v>
      </c>
      <c r="AJ20" s="124">
        <f>COUNTIF($D21:$AH21,Código3)</f>
        <v>0</v>
      </c>
      <c r="AK20" s="124">
        <f>COUNTIF($D21:$AH21,Código4)</f>
        <v>0</v>
      </c>
    </row>
    <row r="21" spans="2:37" ht="14.25" x14ac:dyDescent="0.25">
      <c r="B21" s="123"/>
      <c r="C21" s="96" t="str">
        <f>IFERROR(VLOOKUP(ProcurarAluno,PresençasEmOutubro[],3,FALSE),"")</f>
        <v/>
      </c>
      <c r="D21" s="96" t="str">
        <f>IFERROR(VLOOKUP(ProcurarAluno,PresençasEmOutubro[],4,FALSE),"")</f>
        <v/>
      </c>
      <c r="E21" s="96" t="str">
        <f>IFERROR(VLOOKUP(ProcurarAluno,PresençasEmOutubro[],5,FALSE),"")</f>
        <v/>
      </c>
      <c r="F21" s="96" t="str">
        <f>IFERROR(VLOOKUP(ProcurarAluno,PresençasEmOutubro[],6,FALSE),"")</f>
        <v/>
      </c>
      <c r="G21" s="96" t="str">
        <f>IFERROR(VLOOKUP(ProcurarAluno,PresençasEmOutubro[],7,FALSE),"")</f>
        <v/>
      </c>
      <c r="H21" s="96" t="str">
        <f>IFERROR(VLOOKUP(ProcurarAluno,PresençasEmOutubro[],8,FALSE),"")</f>
        <v/>
      </c>
      <c r="I21" s="96" t="str">
        <f>IFERROR(VLOOKUP(ProcurarAluno,PresençasEmOutubro[],9,FALSE),"")</f>
        <v/>
      </c>
      <c r="J21" s="96" t="str">
        <f>IFERROR(VLOOKUP(ProcurarAluno,PresençasEmOutubro[],10,FALSE),"")</f>
        <v/>
      </c>
      <c r="K21" s="96" t="str">
        <f>IFERROR(VLOOKUP(ProcurarAluno,PresençasEmOutubro[],11,FALSE),"")</f>
        <v/>
      </c>
      <c r="L21" s="96" t="str">
        <f>IFERROR(VLOOKUP(ProcurarAluno,PresençasEmOutubro[],12,FALSE),"")</f>
        <v/>
      </c>
      <c r="M21" s="96" t="str">
        <f>IFERROR(VLOOKUP(ProcurarAluno,PresençasEmOutubro[],13,FALSE),"")</f>
        <v/>
      </c>
      <c r="N21" s="96" t="str">
        <f>IFERROR(VLOOKUP(ProcurarAluno,PresençasEmOutubro[],14,FALSE),"")</f>
        <v/>
      </c>
      <c r="O21" s="96" t="str">
        <f>IFERROR(VLOOKUP(ProcurarAluno,PresençasEmOutubro[],15,FALSE),"")</f>
        <v/>
      </c>
      <c r="P21" s="96" t="str">
        <f>IFERROR(VLOOKUP(ProcurarAluno,PresençasEmOutubro[],16,FALSE),"")</f>
        <v/>
      </c>
      <c r="Q21" s="96" t="str">
        <f>IFERROR(VLOOKUP(ProcurarAluno,PresençasEmOutubro[],17,FALSE),"")</f>
        <v/>
      </c>
      <c r="R21" s="96" t="str">
        <f>IFERROR(VLOOKUP(ProcurarAluno,PresençasEmOutubro[],18,FALSE),"")</f>
        <v/>
      </c>
      <c r="S21" s="96" t="str">
        <f>IFERROR(VLOOKUP(ProcurarAluno,PresençasEmOutubro[],19,FALSE),"")</f>
        <v/>
      </c>
      <c r="T21" s="96" t="str">
        <f>IFERROR(VLOOKUP(ProcurarAluno,PresençasEmOutubro[],20,FALSE),"")</f>
        <v/>
      </c>
      <c r="U21" s="96" t="str">
        <f>IFERROR(VLOOKUP(ProcurarAluno,PresençasEmOutubro[],21,FALSE),"")</f>
        <v/>
      </c>
      <c r="V21" s="96" t="str">
        <f>IFERROR(VLOOKUP(ProcurarAluno,PresençasEmOutubro[],22,FALSE),"")</f>
        <v/>
      </c>
      <c r="W21" s="96" t="str">
        <f>IFERROR(VLOOKUP(ProcurarAluno,PresençasEmOutubro[],23,FALSE),"")</f>
        <v/>
      </c>
      <c r="X21" s="96" t="str">
        <f>IFERROR(VLOOKUP(ProcurarAluno,PresençasEmOutubro[],24,FALSE),"")</f>
        <v/>
      </c>
      <c r="Y21" s="96" t="str">
        <f>IFERROR(VLOOKUP(ProcurarAluno,PresençasEmOutubro[],25,FALSE),"")</f>
        <v/>
      </c>
      <c r="Z21" s="96" t="str">
        <f>IFERROR(VLOOKUP(ProcurarAluno,PresençasEmOutubro[],26,FALSE),"")</f>
        <v/>
      </c>
      <c r="AA21" s="96" t="str">
        <f>IFERROR(VLOOKUP(ProcurarAluno,PresençasEmOutubro[],27,FALSE),"")</f>
        <v/>
      </c>
      <c r="AB21" s="96" t="str">
        <f>IFERROR(VLOOKUP(ProcurarAluno,PresençasEmOutubro[],28,FALSE),"")</f>
        <v/>
      </c>
      <c r="AC21" s="96" t="str">
        <f>IFERROR(VLOOKUP(ProcurarAluno,PresençasEmOutubro[],29,FALSE),"")</f>
        <v/>
      </c>
      <c r="AD21" s="96" t="str">
        <f>IFERROR(VLOOKUP(ProcurarAluno,PresençasEmOutubro[],30,FALSE),"")</f>
        <v/>
      </c>
      <c r="AE21" s="96" t="str">
        <f>IFERROR(VLOOKUP(ProcurarAluno,PresençasEmOutubro[],31,FALSE),"")</f>
        <v/>
      </c>
      <c r="AF21" s="96" t="str">
        <f>IFERROR(VLOOKUP(ProcurarAluno,PresençasEmOutubro[],32,FALSE),"")</f>
        <v/>
      </c>
      <c r="AG21" s="96" t="str">
        <f>IFERROR(VLOOKUP(ProcurarAluno,PresençasEmOutubro[],33,FALSE),"")</f>
        <v/>
      </c>
      <c r="AH21" s="124"/>
      <c r="AI21" s="124"/>
      <c r="AJ21" s="124"/>
      <c r="AK21" s="124"/>
    </row>
    <row r="22" spans="2:37" ht="14.25" x14ac:dyDescent="0.25">
      <c r="B22" s="123" t="s">
        <v>61</v>
      </c>
      <c r="C22" s="97">
        <v>1</v>
      </c>
      <c r="D22" s="97">
        <v>2</v>
      </c>
      <c r="E22" s="97">
        <v>3</v>
      </c>
      <c r="F22" s="97">
        <v>4</v>
      </c>
      <c r="G22" s="97">
        <v>5</v>
      </c>
      <c r="H22" s="97">
        <v>6</v>
      </c>
      <c r="I22" s="97">
        <v>7</v>
      </c>
      <c r="J22" s="97">
        <v>8</v>
      </c>
      <c r="K22" s="97">
        <v>9</v>
      </c>
      <c r="L22" s="97">
        <v>10</v>
      </c>
      <c r="M22" s="97">
        <v>11</v>
      </c>
      <c r="N22" s="97">
        <v>12</v>
      </c>
      <c r="O22" s="97">
        <v>13</v>
      </c>
      <c r="P22" s="97">
        <v>14</v>
      </c>
      <c r="Q22" s="97">
        <v>15</v>
      </c>
      <c r="R22" s="97">
        <v>16</v>
      </c>
      <c r="S22" s="97">
        <v>17</v>
      </c>
      <c r="T22" s="97">
        <v>18</v>
      </c>
      <c r="U22" s="97">
        <v>19</v>
      </c>
      <c r="V22" s="97">
        <v>20</v>
      </c>
      <c r="W22" s="97">
        <v>21</v>
      </c>
      <c r="X22" s="97">
        <v>22</v>
      </c>
      <c r="Y22" s="97">
        <v>23</v>
      </c>
      <c r="Z22" s="97">
        <v>24</v>
      </c>
      <c r="AA22" s="97">
        <v>25</v>
      </c>
      <c r="AB22" s="97">
        <v>26</v>
      </c>
      <c r="AC22" s="97">
        <v>27</v>
      </c>
      <c r="AD22" s="97">
        <v>28</v>
      </c>
      <c r="AE22" s="97">
        <v>29</v>
      </c>
      <c r="AF22" s="97">
        <v>30</v>
      </c>
      <c r="AG22" s="97"/>
      <c r="AH22" s="124">
        <f>COUNTIF($D23:$AH23,Código1)</f>
        <v>0</v>
      </c>
      <c r="AI22" s="124">
        <f>COUNTIF($D23:$AH23,Código2)</f>
        <v>0</v>
      </c>
      <c r="AJ22" s="124">
        <f>COUNTIF($D23:$AH23,Código3)</f>
        <v>0</v>
      </c>
      <c r="AK22" s="124">
        <f>COUNTIF($D23:$AH23,Código4)</f>
        <v>0</v>
      </c>
    </row>
    <row r="23" spans="2:37" ht="14.25" x14ac:dyDescent="0.25">
      <c r="B23" s="123"/>
      <c r="C23" s="96" t="str">
        <f>IFERROR(VLOOKUP(ProcurarAluno,PresençasEmNovembro[],3,FALSE),"")</f>
        <v/>
      </c>
      <c r="D23" s="96" t="str">
        <f>IFERROR(VLOOKUP(ProcurarAluno,PresençasEmNovembro[],4,FALSE),"")</f>
        <v/>
      </c>
      <c r="E23" s="96" t="str">
        <f>IFERROR(VLOOKUP(ProcurarAluno,PresençasEmNovembro[],5,FALSE),"")</f>
        <v/>
      </c>
      <c r="F23" s="96" t="str">
        <f>IFERROR(VLOOKUP(ProcurarAluno,PresençasEmNovembro[],6,FALSE),"")</f>
        <v/>
      </c>
      <c r="G23" s="96" t="str">
        <f>IFERROR(VLOOKUP(ProcurarAluno,PresençasEmNovembro[],7,FALSE),"")</f>
        <v/>
      </c>
      <c r="H23" s="96" t="str">
        <f>IFERROR(VLOOKUP(ProcurarAluno,PresençasEmNovembro[],8,FALSE),"")</f>
        <v/>
      </c>
      <c r="I23" s="96" t="str">
        <f>IFERROR(VLOOKUP(ProcurarAluno,PresençasEmNovembro[],9,FALSE),"")</f>
        <v/>
      </c>
      <c r="J23" s="96" t="str">
        <f>IFERROR(VLOOKUP(ProcurarAluno,PresençasEmNovembro[],10,FALSE),"")</f>
        <v/>
      </c>
      <c r="K23" s="96" t="str">
        <f>IFERROR(VLOOKUP(ProcurarAluno,PresençasEmNovembro[],11,FALSE),"")</f>
        <v/>
      </c>
      <c r="L23" s="96" t="str">
        <f>IFERROR(VLOOKUP(ProcurarAluno,PresençasEmNovembro[],12,FALSE),"")</f>
        <v/>
      </c>
      <c r="M23" s="96" t="str">
        <f>IFERROR(VLOOKUP(ProcurarAluno,PresençasEmNovembro[],13,FALSE),"")</f>
        <v/>
      </c>
      <c r="N23" s="96" t="str">
        <f>IFERROR(VLOOKUP(ProcurarAluno,PresençasEmNovembro[],14,FALSE),"")</f>
        <v/>
      </c>
      <c r="O23" s="96" t="str">
        <f>IFERROR(VLOOKUP(ProcurarAluno,PresençasEmNovembro[],15,FALSE),"")</f>
        <v/>
      </c>
      <c r="P23" s="96" t="str">
        <f>IFERROR(VLOOKUP(ProcurarAluno,PresençasEmNovembro[],16,FALSE),"")</f>
        <v/>
      </c>
      <c r="Q23" s="96" t="str">
        <f>IFERROR(VLOOKUP(ProcurarAluno,PresençasEmNovembro[],17,FALSE),"")</f>
        <v/>
      </c>
      <c r="R23" s="96" t="str">
        <f>IFERROR(VLOOKUP(ProcurarAluno,PresençasEmNovembro[],18,FALSE),"")</f>
        <v/>
      </c>
      <c r="S23" s="96" t="str">
        <f>IFERROR(VLOOKUP(ProcurarAluno,PresençasEmNovembro[],19,FALSE),"")</f>
        <v/>
      </c>
      <c r="T23" s="96" t="str">
        <f>IFERROR(VLOOKUP(ProcurarAluno,PresençasEmNovembro[],20,FALSE),"")</f>
        <v/>
      </c>
      <c r="U23" s="96" t="str">
        <f>IFERROR(VLOOKUP(ProcurarAluno,PresençasEmNovembro[],21,FALSE),"")</f>
        <v/>
      </c>
      <c r="V23" s="96" t="str">
        <f>IFERROR(VLOOKUP(ProcurarAluno,PresençasEmNovembro[],22,FALSE),"")</f>
        <v/>
      </c>
      <c r="W23" s="96" t="str">
        <f>IFERROR(VLOOKUP(ProcurarAluno,PresençasEmNovembro[],23,FALSE),"")</f>
        <v/>
      </c>
      <c r="X23" s="96" t="str">
        <f>IFERROR(VLOOKUP(ProcurarAluno,PresençasEmNovembro[],24,FALSE),"")</f>
        <v/>
      </c>
      <c r="Y23" s="96" t="str">
        <f>IFERROR(VLOOKUP(ProcurarAluno,PresençasEmNovembro[],25,FALSE),"")</f>
        <v/>
      </c>
      <c r="Z23" s="96" t="str">
        <f>IFERROR(VLOOKUP(ProcurarAluno,PresençasEmNovembro[],26,FALSE),"")</f>
        <v/>
      </c>
      <c r="AA23" s="96" t="str">
        <f>IFERROR(VLOOKUP(ProcurarAluno,PresençasEmNovembro[],27,FALSE),"")</f>
        <v/>
      </c>
      <c r="AB23" s="96" t="str">
        <f>IFERROR(VLOOKUP(ProcurarAluno,PresençasEmNovembro[],28,FALSE),"")</f>
        <v/>
      </c>
      <c r="AC23" s="96" t="str">
        <f>IFERROR(VLOOKUP(ProcurarAluno,PresençasEmNovembro[],29,FALSE),"")</f>
        <v/>
      </c>
      <c r="AD23" s="96" t="str">
        <f>IFERROR(VLOOKUP(ProcurarAluno,PresençasEmNovembro[],30,FALSE),"")</f>
        <v/>
      </c>
      <c r="AE23" s="96" t="str">
        <f>IFERROR(VLOOKUP(ProcurarAluno,PresençasEmNovembro[],31,FALSE),"")</f>
        <v/>
      </c>
      <c r="AF23" s="96" t="str">
        <f>IFERROR(VLOOKUP(ProcurarAluno,PresençasEmNovembro[],32,FALSE),"")</f>
        <v/>
      </c>
      <c r="AG23" s="96"/>
      <c r="AH23" s="124"/>
      <c r="AI23" s="124"/>
      <c r="AJ23" s="124"/>
      <c r="AK23" s="124"/>
    </row>
    <row r="24" spans="2:37" ht="14.25" x14ac:dyDescent="0.25">
      <c r="B24" s="123" t="s">
        <v>62</v>
      </c>
      <c r="C24" s="97">
        <v>1</v>
      </c>
      <c r="D24" s="97">
        <v>2</v>
      </c>
      <c r="E24" s="97">
        <v>3</v>
      </c>
      <c r="F24" s="97">
        <v>4</v>
      </c>
      <c r="G24" s="97">
        <v>5</v>
      </c>
      <c r="H24" s="97">
        <v>6</v>
      </c>
      <c r="I24" s="97">
        <v>7</v>
      </c>
      <c r="J24" s="97">
        <v>8</v>
      </c>
      <c r="K24" s="97">
        <v>9</v>
      </c>
      <c r="L24" s="97">
        <v>10</v>
      </c>
      <c r="M24" s="97">
        <v>11</v>
      </c>
      <c r="N24" s="97">
        <v>12</v>
      </c>
      <c r="O24" s="97">
        <v>13</v>
      </c>
      <c r="P24" s="97">
        <v>14</v>
      </c>
      <c r="Q24" s="97">
        <v>15</v>
      </c>
      <c r="R24" s="97">
        <v>16</v>
      </c>
      <c r="S24" s="97">
        <v>17</v>
      </c>
      <c r="T24" s="97">
        <v>18</v>
      </c>
      <c r="U24" s="97">
        <v>19</v>
      </c>
      <c r="V24" s="97">
        <v>20</v>
      </c>
      <c r="W24" s="97">
        <v>21</v>
      </c>
      <c r="X24" s="97">
        <v>22</v>
      </c>
      <c r="Y24" s="97">
        <v>23</v>
      </c>
      <c r="Z24" s="97">
        <v>24</v>
      </c>
      <c r="AA24" s="97">
        <v>25</v>
      </c>
      <c r="AB24" s="97">
        <v>26</v>
      </c>
      <c r="AC24" s="97">
        <v>27</v>
      </c>
      <c r="AD24" s="97">
        <v>28</v>
      </c>
      <c r="AE24" s="97">
        <v>29</v>
      </c>
      <c r="AF24" s="97">
        <v>30</v>
      </c>
      <c r="AG24" s="97">
        <v>31</v>
      </c>
      <c r="AH24" s="124">
        <f>COUNTIF($D25:$AH25,Código1)</f>
        <v>0</v>
      </c>
      <c r="AI24" s="124">
        <f>COUNTIF($D25:$AH25,Código2)</f>
        <v>0</v>
      </c>
      <c r="AJ24" s="124">
        <f>COUNTIF($D25:$AH25,Código3)</f>
        <v>0</v>
      </c>
      <c r="AK24" s="124">
        <f>COUNTIF($D25:$AH25,Código4)</f>
        <v>0</v>
      </c>
    </row>
    <row r="25" spans="2:37" ht="14.25" x14ac:dyDescent="0.25">
      <c r="B25" s="123"/>
      <c r="C25" s="96">
        <f>IFERROR(VLOOKUP(ProcurarAluno,PresençasEmDezembro[],3,FALSE),"")</f>
        <v>0</v>
      </c>
      <c r="D25" s="96">
        <f>IFERROR(VLOOKUP(ProcurarAluno,PresençasEmDezembro[],4,FALSE),"")</f>
        <v>0</v>
      </c>
      <c r="E25" s="96">
        <f>IFERROR(VLOOKUP(ProcurarAluno,PresençasEmDezembro[],5,FALSE),"")</f>
        <v>0</v>
      </c>
      <c r="F25" s="96">
        <f>IFERROR(VLOOKUP(ProcurarAluno,PresençasEmDezembro[],6,FALSE),"")</f>
        <v>0</v>
      </c>
      <c r="G25" s="96">
        <f>IFERROR(VLOOKUP(ProcurarAluno,PresençasEmDezembro[],7,FALSE),"")</f>
        <v>0</v>
      </c>
      <c r="H25" s="96">
        <f>IFERROR(VLOOKUP(ProcurarAluno,PresençasEmDezembro[],8,FALSE),"")</f>
        <v>0</v>
      </c>
      <c r="I25" s="96">
        <f>IFERROR(VLOOKUP(ProcurarAluno,PresençasEmDezembro[],9,FALSE),"")</f>
        <v>0</v>
      </c>
      <c r="J25" s="96">
        <f>IFERROR(VLOOKUP(ProcurarAluno,PresençasEmDezembro[],10,FALSE),"")</f>
        <v>0</v>
      </c>
      <c r="K25" s="96">
        <f>IFERROR(VLOOKUP(ProcurarAluno,PresençasEmDezembro[],11,FALSE),"")</f>
        <v>0</v>
      </c>
      <c r="L25" s="96">
        <f>IFERROR(VLOOKUP(ProcurarAluno,PresençasEmDezembro[],12,FALSE),"")</f>
        <v>0</v>
      </c>
      <c r="M25" s="96">
        <f>IFERROR(VLOOKUP(ProcurarAluno,PresençasEmDezembro[],13,FALSE),"")</f>
        <v>0</v>
      </c>
      <c r="N25" s="96">
        <f>IFERROR(VLOOKUP(ProcurarAluno,PresençasEmDezembro[],14,FALSE),"")</f>
        <v>0</v>
      </c>
      <c r="O25" s="96">
        <f>IFERROR(VLOOKUP(ProcurarAluno,PresençasEmDezembro[],15,FALSE),"")</f>
        <v>0</v>
      </c>
      <c r="P25" s="96">
        <f>IFERROR(VLOOKUP(ProcurarAluno,PresençasEmDezembro[],16,FALSE),"")</f>
        <v>0</v>
      </c>
      <c r="Q25" s="96">
        <f>IFERROR(VLOOKUP(ProcurarAluno,PresençasEmDezembro[],17,FALSE),"")</f>
        <v>0</v>
      </c>
      <c r="R25" s="96">
        <f>IFERROR(VLOOKUP(ProcurarAluno,PresençasEmDezembro[],18,FALSE),"")</f>
        <v>0</v>
      </c>
      <c r="S25" s="96">
        <f>IFERROR(VLOOKUP(ProcurarAluno,PresençasEmDezembro[],19,FALSE),"")</f>
        <v>0</v>
      </c>
      <c r="T25" s="96">
        <f>IFERROR(VLOOKUP(ProcurarAluno,PresençasEmDezembro[],20,FALSE),"")</f>
        <v>0</v>
      </c>
      <c r="U25" s="96">
        <f>IFERROR(VLOOKUP(ProcurarAluno,PresençasEmDezembro[],21,FALSE),"")</f>
        <v>0</v>
      </c>
      <c r="V25" s="96">
        <f>IFERROR(VLOOKUP(ProcurarAluno,PresençasEmDezembro[],22,FALSE),"")</f>
        <v>0</v>
      </c>
      <c r="W25" s="96">
        <f>IFERROR(VLOOKUP(ProcurarAluno,PresençasEmDezembro[],23,FALSE),"")</f>
        <v>0</v>
      </c>
      <c r="X25" s="96">
        <f>IFERROR(VLOOKUP(ProcurarAluno,PresençasEmDezembro[],24,FALSE),"")</f>
        <v>0</v>
      </c>
      <c r="Y25" s="96">
        <f>IFERROR(VLOOKUP(ProcurarAluno,PresençasEmDezembro[],25,FALSE),"")</f>
        <v>0</v>
      </c>
      <c r="Z25" s="96">
        <f>IFERROR(VLOOKUP(ProcurarAluno,PresençasEmDezembro[],26,FALSE),"")</f>
        <v>0</v>
      </c>
      <c r="AA25" s="96">
        <f>IFERROR(VLOOKUP(ProcurarAluno,PresençasEmDezembro[],27,FALSE),"")</f>
        <v>0</v>
      </c>
      <c r="AB25" s="96">
        <f>IFERROR(VLOOKUP(ProcurarAluno,PresençasEmDezembro[],28,FALSE),"")</f>
        <v>0</v>
      </c>
      <c r="AC25" s="96">
        <f>IFERROR(VLOOKUP(ProcurarAluno,PresençasEmDezembro[],29,FALSE),"")</f>
        <v>0</v>
      </c>
      <c r="AD25" s="96">
        <f>IFERROR(VLOOKUP(ProcurarAluno,PresençasEmDezembro[],30,FALSE),"")</f>
        <v>0</v>
      </c>
      <c r="AE25" s="96">
        <f>IFERROR(VLOOKUP(ProcurarAluno,PresençasEmDezembro[],31,FALSE),"")</f>
        <v>0</v>
      </c>
      <c r="AF25" s="96">
        <f>IFERROR(VLOOKUP(ProcurarAluno,PresençasEmDezembro[],32,FALSE),"")</f>
        <v>0</v>
      </c>
      <c r="AG25" s="96">
        <f>IFERROR(VLOOKUP(ProcurarAluno,PresençasEmDezembro[],33,FALSE),"")</f>
        <v>0</v>
      </c>
      <c r="AH25" s="124"/>
      <c r="AI25" s="124"/>
      <c r="AJ25" s="124"/>
      <c r="AK25" s="124"/>
    </row>
    <row r="26" spans="2:37" ht="14.25" x14ac:dyDescent="0.25">
      <c r="B26" s="123" t="s">
        <v>63</v>
      </c>
      <c r="C26" s="97">
        <v>1</v>
      </c>
      <c r="D26" s="97">
        <v>2</v>
      </c>
      <c r="E26" s="97">
        <v>3</v>
      </c>
      <c r="F26" s="97">
        <v>4</v>
      </c>
      <c r="G26" s="97">
        <v>5</v>
      </c>
      <c r="H26" s="97">
        <v>6</v>
      </c>
      <c r="I26" s="97">
        <v>7</v>
      </c>
      <c r="J26" s="97">
        <v>8</v>
      </c>
      <c r="K26" s="97">
        <v>9</v>
      </c>
      <c r="L26" s="97">
        <v>10</v>
      </c>
      <c r="M26" s="97">
        <v>11</v>
      </c>
      <c r="N26" s="97">
        <v>12</v>
      </c>
      <c r="O26" s="97">
        <v>13</v>
      </c>
      <c r="P26" s="97">
        <v>14</v>
      </c>
      <c r="Q26" s="97">
        <v>15</v>
      </c>
      <c r="R26" s="97">
        <v>16</v>
      </c>
      <c r="S26" s="97">
        <v>17</v>
      </c>
      <c r="T26" s="97">
        <v>18</v>
      </c>
      <c r="U26" s="97">
        <v>19</v>
      </c>
      <c r="V26" s="97">
        <v>20</v>
      </c>
      <c r="W26" s="97">
        <v>21</v>
      </c>
      <c r="X26" s="97">
        <v>22</v>
      </c>
      <c r="Y26" s="97">
        <v>23</v>
      </c>
      <c r="Z26" s="97">
        <v>24</v>
      </c>
      <c r="AA26" s="97">
        <v>25</v>
      </c>
      <c r="AB26" s="97">
        <v>26</v>
      </c>
      <c r="AC26" s="97">
        <v>27</v>
      </c>
      <c r="AD26" s="97">
        <v>28</v>
      </c>
      <c r="AE26" s="97">
        <v>29</v>
      </c>
      <c r="AF26" s="97">
        <v>30</v>
      </c>
      <c r="AG26" s="97">
        <v>31</v>
      </c>
      <c r="AH26" s="124">
        <f>COUNTIF($D27:$AH27,Código1)</f>
        <v>0</v>
      </c>
      <c r="AI26" s="124">
        <f>COUNTIF($D27:$AH27,Código2)</f>
        <v>0</v>
      </c>
      <c r="AJ26" s="124">
        <f>COUNTIF($D27:$AH27,Código3)</f>
        <v>0</v>
      </c>
      <c r="AK26" s="124">
        <f>COUNTIF($D27:$AH27,Código4)</f>
        <v>0</v>
      </c>
    </row>
    <row r="27" spans="2:37" ht="14.25" x14ac:dyDescent="0.25">
      <c r="B27" s="123"/>
      <c r="C27" s="96" t="str">
        <f>IFERROR(VLOOKUP(ProcurarAluno,PresençasEmJaneiro[],3,FALSE),"")</f>
        <v/>
      </c>
      <c r="D27" s="96" t="str">
        <f>IFERROR(VLOOKUP(ProcurarAluno,PresençasEmJaneiro[],4,FALSE),"")</f>
        <v/>
      </c>
      <c r="E27" s="96" t="str">
        <f>IFERROR(VLOOKUP(ProcurarAluno,PresençasEmJaneiro[],5,FALSE),"")</f>
        <v/>
      </c>
      <c r="F27" s="96" t="str">
        <f>IFERROR(VLOOKUP(ProcurarAluno,PresençasEmJaneiro[],6,FALSE),"")</f>
        <v/>
      </c>
      <c r="G27" s="96" t="str">
        <f>IFERROR(VLOOKUP(ProcurarAluno,PresençasEmJaneiro[],7,FALSE),"")</f>
        <v/>
      </c>
      <c r="H27" s="96" t="str">
        <f>IFERROR(VLOOKUP(ProcurarAluno,PresençasEmJaneiro[],8,FALSE),"")</f>
        <v/>
      </c>
      <c r="I27" s="96" t="str">
        <f>IFERROR(VLOOKUP(ProcurarAluno,PresençasEmJaneiro[],9,FALSE),"")</f>
        <v/>
      </c>
      <c r="J27" s="96" t="str">
        <f>IFERROR(VLOOKUP(ProcurarAluno,PresençasEmJaneiro[],10,FALSE),"")</f>
        <v/>
      </c>
      <c r="K27" s="96" t="str">
        <f>IFERROR(VLOOKUP(ProcurarAluno,PresençasEmJaneiro[],11,FALSE),"")</f>
        <v/>
      </c>
      <c r="L27" s="96" t="str">
        <f>IFERROR(VLOOKUP(ProcurarAluno,PresençasEmJaneiro[],12,FALSE),"")</f>
        <v/>
      </c>
      <c r="M27" s="96" t="str">
        <f>IFERROR(VLOOKUP(ProcurarAluno,PresençasEmJaneiro[],13,FALSE),"")</f>
        <v/>
      </c>
      <c r="N27" s="96" t="str">
        <f>IFERROR(VLOOKUP(ProcurarAluno,PresençasEmJaneiro[],14,FALSE),"")</f>
        <v/>
      </c>
      <c r="O27" s="96" t="str">
        <f>IFERROR(VLOOKUP(ProcurarAluno,PresençasEmJaneiro[],15,FALSE),"")</f>
        <v/>
      </c>
      <c r="P27" s="96" t="str">
        <f>IFERROR(VLOOKUP(ProcurarAluno,PresençasEmJaneiro[],16,FALSE),"")</f>
        <v/>
      </c>
      <c r="Q27" s="96" t="str">
        <f>IFERROR(VLOOKUP(ProcurarAluno,PresençasEmJaneiro[],17,FALSE),"")</f>
        <v/>
      </c>
      <c r="R27" s="96" t="str">
        <f>IFERROR(VLOOKUP(ProcurarAluno,PresençasEmJaneiro[],18,FALSE),"")</f>
        <v/>
      </c>
      <c r="S27" s="96" t="str">
        <f>IFERROR(VLOOKUP(ProcurarAluno,PresençasEmJaneiro[],19,FALSE),"")</f>
        <v/>
      </c>
      <c r="T27" s="96" t="str">
        <f>IFERROR(VLOOKUP(ProcurarAluno,PresençasEmJaneiro[],20,FALSE),"")</f>
        <v/>
      </c>
      <c r="U27" s="96" t="str">
        <f>IFERROR(VLOOKUP(ProcurarAluno,PresençasEmJaneiro[],21,FALSE),"")</f>
        <v/>
      </c>
      <c r="V27" s="96" t="str">
        <f>IFERROR(VLOOKUP(ProcurarAluno,PresençasEmJaneiro[],22,FALSE),"")</f>
        <v/>
      </c>
      <c r="W27" s="96" t="str">
        <f>IFERROR(VLOOKUP(ProcurarAluno,PresençasEmJaneiro[],23,FALSE),"")</f>
        <v/>
      </c>
      <c r="X27" s="96" t="str">
        <f>IFERROR(VLOOKUP(ProcurarAluno,PresençasEmJaneiro[],24,FALSE),"")</f>
        <v/>
      </c>
      <c r="Y27" s="96" t="str">
        <f>IFERROR(VLOOKUP(ProcurarAluno,PresençasEmJaneiro[],25,FALSE),"")</f>
        <v/>
      </c>
      <c r="Z27" s="96" t="str">
        <f>IFERROR(VLOOKUP(ProcurarAluno,PresençasEmJaneiro[],26,FALSE),"")</f>
        <v/>
      </c>
      <c r="AA27" s="96" t="str">
        <f>IFERROR(VLOOKUP(ProcurarAluno,PresençasEmJaneiro[],27,FALSE),"")</f>
        <v/>
      </c>
      <c r="AB27" s="96" t="str">
        <f>IFERROR(VLOOKUP(ProcurarAluno,PresençasEmJaneiro[],28,FALSE),"")</f>
        <v/>
      </c>
      <c r="AC27" s="96" t="str">
        <f>IFERROR(VLOOKUP(ProcurarAluno,PresençasEmJaneiro[],29,FALSE),"")</f>
        <v/>
      </c>
      <c r="AD27" s="96" t="str">
        <f>IFERROR(VLOOKUP(ProcurarAluno,PresençasEmJaneiro[],30,FALSE),"")</f>
        <v/>
      </c>
      <c r="AE27" s="96" t="str">
        <f>IFERROR(VLOOKUP(ProcurarAluno,PresençasEmJaneiro[],31,FALSE),"")</f>
        <v/>
      </c>
      <c r="AF27" s="96" t="str">
        <f>IFERROR(VLOOKUP(ProcurarAluno,PresençasEmJaneiro[],32,FALSE),"")</f>
        <v/>
      </c>
      <c r="AG27" s="96" t="str">
        <f>IFERROR(VLOOKUP(ProcurarAluno,PresençasEmJaneiro[],33,FALSE),"")</f>
        <v/>
      </c>
      <c r="AH27" s="124"/>
      <c r="AI27" s="124"/>
      <c r="AJ27" s="124"/>
      <c r="AK27" s="124"/>
    </row>
    <row r="28" spans="2:37" ht="14.25" x14ac:dyDescent="0.25">
      <c r="B28" s="123" t="s">
        <v>64</v>
      </c>
      <c r="C28" s="97">
        <v>1</v>
      </c>
      <c r="D28" s="97">
        <v>2</v>
      </c>
      <c r="E28" s="97">
        <v>3</v>
      </c>
      <c r="F28" s="97">
        <v>4</v>
      </c>
      <c r="G28" s="97">
        <v>5</v>
      </c>
      <c r="H28" s="97">
        <v>6</v>
      </c>
      <c r="I28" s="97">
        <v>7</v>
      </c>
      <c r="J28" s="97">
        <v>8</v>
      </c>
      <c r="K28" s="97">
        <v>9</v>
      </c>
      <c r="L28" s="97">
        <v>10</v>
      </c>
      <c r="M28" s="97">
        <v>11</v>
      </c>
      <c r="N28" s="97">
        <v>12</v>
      </c>
      <c r="O28" s="97">
        <v>13</v>
      </c>
      <c r="P28" s="97">
        <v>14</v>
      </c>
      <c r="Q28" s="97">
        <v>15</v>
      </c>
      <c r="R28" s="97">
        <v>16</v>
      </c>
      <c r="S28" s="97">
        <v>17</v>
      </c>
      <c r="T28" s="97">
        <v>18</v>
      </c>
      <c r="U28" s="97">
        <v>19</v>
      </c>
      <c r="V28" s="97">
        <v>20</v>
      </c>
      <c r="W28" s="97">
        <v>21</v>
      </c>
      <c r="X28" s="97">
        <v>22</v>
      </c>
      <c r="Y28" s="97">
        <v>23</v>
      </c>
      <c r="Z28" s="97">
        <v>24</v>
      </c>
      <c r="AA28" s="97">
        <v>25</v>
      </c>
      <c r="AB28" s="97">
        <v>26</v>
      </c>
      <c r="AC28" s="97">
        <v>27</v>
      </c>
      <c r="AD28" s="97">
        <v>28</v>
      </c>
      <c r="AE28" s="97">
        <v>29</v>
      </c>
      <c r="AF28" s="97"/>
      <c r="AG28" s="97"/>
      <c r="AH28" s="124">
        <f>COUNTIF($D29:$AH29,Código1)</f>
        <v>0</v>
      </c>
      <c r="AI28" s="124">
        <f>COUNTIF($D29:$AH29,Código2)</f>
        <v>0</v>
      </c>
      <c r="AJ28" s="124">
        <f>COUNTIF($D29:$AH29,Código3)</f>
        <v>0</v>
      </c>
      <c r="AK28" s="124">
        <f>COUNTIF($D29:$AH29,Código4)</f>
        <v>0</v>
      </c>
    </row>
    <row r="29" spans="2:37" ht="14.25" x14ac:dyDescent="0.25">
      <c r="B29" s="123"/>
      <c r="C29" s="96" t="str">
        <f>IFERROR(VLOOKUP(ProcurarAluno,PresençasEmFevereiro[],3,FALSE),"")</f>
        <v/>
      </c>
      <c r="D29" s="96" t="str">
        <f>IFERROR(VLOOKUP(ProcurarAluno,PresençasEmFevereiro[],4,FALSE),"")</f>
        <v/>
      </c>
      <c r="E29" s="96" t="str">
        <f>IFERROR(VLOOKUP(ProcurarAluno,PresençasEmFevereiro[],5,FALSE),"")</f>
        <v/>
      </c>
      <c r="F29" s="96" t="str">
        <f>IFERROR(VLOOKUP(ProcurarAluno,PresençasEmFevereiro[],6,FALSE),"")</f>
        <v/>
      </c>
      <c r="G29" s="96" t="str">
        <f>IFERROR(VLOOKUP(ProcurarAluno,PresençasEmFevereiro[],7,FALSE),"")</f>
        <v/>
      </c>
      <c r="H29" s="96" t="str">
        <f>IFERROR(VLOOKUP(ProcurarAluno,PresençasEmFevereiro[],8,FALSE),"")</f>
        <v/>
      </c>
      <c r="I29" s="96" t="str">
        <f>IFERROR(VLOOKUP(ProcurarAluno,PresençasEmFevereiro[],9,FALSE),"")</f>
        <v/>
      </c>
      <c r="J29" s="96" t="str">
        <f>IFERROR(VLOOKUP(ProcurarAluno,PresençasEmFevereiro[],10,FALSE),"")</f>
        <v/>
      </c>
      <c r="K29" s="96" t="str">
        <f>IFERROR(VLOOKUP(ProcurarAluno,PresençasEmFevereiro[],11,FALSE),"")</f>
        <v/>
      </c>
      <c r="L29" s="96" t="str">
        <f>IFERROR(VLOOKUP(ProcurarAluno,PresençasEmFevereiro[],12,FALSE),"")</f>
        <v/>
      </c>
      <c r="M29" s="96" t="str">
        <f>IFERROR(VLOOKUP(ProcurarAluno,PresençasEmFevereiro[],13,FALSE),"")</f>
        <v/>
      </c>
      <c r="N29" s="96" t="str">
        <f>IFERROR(VLOOKUP(ProcurarAluno,PresençasEmFevereiro[],14,FALSE),"")</f>
        <v/>
      </c>
      <c r="O29" s="96" t="str">
        <f>IFERROR(VLOOKUP(ProcurarAluno,PresençasEmFevereiro[],15,FALSE),"")</f>
        <v/>
      </c>
      <c r="P29" s="96" t="str">
        <f>IFERROR(VLOOKUP(ProcurarAluno,PresençasEmFevereiro[],16,FALSE),"")</f>
        <v/>
      </c>
      <c r="Q29" s="96" t="str">
        <f>IFERROR(VLOOKUP(ProcurarAluno,PresençasEmFevereiro[],17,FALSE),"")</f>
        <v/>
      </c>
      <c r="R29" s="96" t="str">
        <f>IFERROR(VLOOKUP(ProcurarAluno,PresençasEmFevereiro[],18,FALSE),"")</f>
        <v/>
      </c>
      <c r="S29" s="96" t="str">
        <f>IFERROR(VLOOKUP(ProcurarAluno,PresençasEmFevereiro[],19,FALSE),"")</f>
        <v/>
      </c>
      <c r="T29" s="96" t="str">
        <f>IFERROR(VLOOKUP(ProcurarAluno,PresençasEmFevereiro[],20,FALSE),"")</f>
        <v/>
      </c>
      <c r="U29" s="96" t="str">
        <f>IFERROR(VLOOKUP(ProcurarAluno,PresençasEmFevereiro[],21,FALSE),"")</f>
        <v/>
      </c>
      <c r="V29" s="96" t="str">
        <f>IFERROR(VLOOKUP(ProcurarAluno,PresençasEmFevereiro[],22,FALSE),"")</f>
        <v/>
      </c>
      <c r="W29" s="96" t="str">
        <f>IFERROR(VLOOKUP(ProcurarAluno,PresençasEmFevereiro[],23,FALSE),"")</f>
        <v/>
      </c>
      <c r="X29" s="96" t="str">
        <f>IFERROR(VLOOKUP(ProcurarAluno,PresençasEmFevereiro[],24,FALSE),"")</f>
        <v/>
      </c>
      <c r="Y29" s="96" t="str">
        <f>IFERROR(VLOOKUP(ProcurarAluno,PresençasEmFevereiro[],25,FALSE),"")</f>
        <v/>
      </c>
      <c r="Z29" s="96" t="str">
        <f>IFERROR(VLOOKUP(ProcurarAluno,PresençasEmFevereiro[],26,FALSE),"")</f>
        <v/>
      </c>
      <c r="AA29" s="96" t="str">
        <f>IFERROR(VLOOKUP(ProcurarAluno,PresençasEmFevereiro[],27,FALSE),"")</f>
        <v/>
      </c>
      <c r="AB29" s="96" t="str">
        <f>IFERROR(VLOOKUP(ProcurarAluno,PresençasEmFevereiro[],28,FALSE),"")</f>
        <v/>
      </c>
      <c r="AC29" s="96" t="str">
        <f>IFERROR(VLOOKUP(ProcurarAluno,PresençasEmFevereiro[],29,FALSE),"")</f>
        <v/>
      </c>
      <c r="AD29" s="96" t="str">
        <f>IFERROR(VLOOKUP(ProcurarAluno,PresençasEmFevereiro[],30,FALSE),"")</f>
        <v/>
      </c>
      <c r="AE29" s="96" t="str">
        <f>IFERROR(VLOOKUP(ProcurarAluno,PresençasEmFevereiro[],31,FALSE),"")</f>
        <v/>
      </c>
      <c r="AF29" s="96"/>
      <c r="AG29" s="96"/>
      <c r="AH29" s="124"/>
      <c r="AI29" s="124"/>
      <c r="AJ29" s="124"/>
      <c r="AK29" s="124"/>
    </row>
    <row r="30" spans="2:37" ht="14.25" x14ac:dyDescent="0.25">
      <c r="B30" s="123" t="s">
        <v>65</v>
      </c>
      <c r="C30" s="97">
        <v>1</v>
      </c>
      <c r="D30" s="97">
        <v>2</v>
      </c>
      <c r="E30" s="97">
        <v>3</v>
      </c>
      <c r="F30" s="97">
        <v>4</v>
      </c>
      <c r="G30" s="97">
        <v>5</v>
      </c>
      <c r="H30" s="97">
        <v>6</v>
      </c>
      <c r="I30" s="97">
        <v>7</v>
      </c>
      <c r="J30" s="97">
        <v>8</v>
      </c>
      <c r="K30" s="97">
        <v>9</v>
      </c>
      <c r="L30" s="97">
        <v>10</v>
      </c>
      <c r="M30" s="97">
        <v>11</v>
      </c>
      <c r="N30" s="97">
        <v>12</v>
      </c>
      <c r="O30" s="97">
        <v>13</v>
      </c>
      <c r="P30" s="97">
        <v>14</v>
      </c>
      <c r="Q30" s="97">
        <v>15</v>
      </c>
      <c r="R30" s="97">
        <v>16</v>
      </c>
      <c r="S30" s="97">
        <v>17</v>
      </c>
      <c r="T30" s="97">
        <v>18</v>
      </c>
      <c r="U30" s="97">
        <v>19</v>
      </c>
      <c r="V30" s="97">
        <v>20</v>
      </c>
      <c r="W30" s="97">
        <v>21</v>
      </c>
      <c r="X30" s="97">
        <v>22</v>
      </c>
      <c r="Y30" s="97">
        <v>23</v>
      </c>
      <c r="Z30" s="97">
        <v>24</v>
      </c>
      <c r="AA30" s="97">
        <v>25</v>
      </c>
      <c r="AB30" s="97">
        <v>26</v>
      </c>
      <c r="AC30" s="97">
        <v>27</v>
      </c>
      <c r="AD30" s="97">
        <v>28</v>
      </c>
      <c r="AE30" s="97">
        <v>29</v>
      </c>
      <c r="AF30" s="97">
        <v>30</v>
      </c>
      <c r="AG30" s="97">
        <v>31</v>
      </c>
      <c r="AH30" s="124">
        <f>COUNTIF($D31:$AH31,Código1)</f>
        <v>0</v>
      </c>
      <c r="AI30" s="124">
        <f>COUNTIF($D31:$AH31,Código2)</f>
        <v>0</v>
      </c>
      <c r="AJ30" s="124">
        <f>COUNTIF($D31:$AH31,Código3)</f>
        <v>0</v>
      </c>
      <c r="AK30" s="124">
        <f>COUNTIF($D31:$AH31,Código4)</f>
        <v>0</v>
      </c>
    </row>
    <row r="31" spans="2:37" ht="14.25" x14ac:dyDescent="0.25">
      <c r="B31" s="123"/>
      <c r="C31" s="96" t="str">
        <f>IFERROR(VLOOKUP(ProcurarAluno,PresençasEmMarço[],3,FALSE),"")</f>
        <v/>
      </c>
      <c r="D31" s="96" t="str">
        <f>IFERROR(VLOOKUP(ProcurarAluno,PresençasEmMarço[],4,FALSE),"")</f>
        <v/>
      </c>
      <c r="E31" s="96" t="str">
        <f>IFERROR(VLOOKUP(ProcurarAluno,PresençasEmMarço[],5,FALSE),"")</f>
        <v/>
      </c>
      <c r="F31" s="96" t="str">
        <f>IFERROR(VLOOKUP(ProcurarAluno,PresençasEmMarço[],6,FALSE),"")</f>
        <v/>
      </c>
      <c r="G31" s="96" t="str">
        <f>IFERROR(VLOOKUP(ProcurarAluno,PresençasEmMarço[],7,FALSE),"")</f>
        <v/>
      </c>
      <c r="H31" s="96" t="str">
        <f>IFERROR(VLOOKUP(ProcurarAluno,PresençasEmMarço[],8,FALSE),"")</f>
        <v/>
      </c>
      <c r="I31" s="96" t="str">
        <f>IFERROR(VLOOKUP(ProcurarAluno,PresençasEmMarço[],9,FALSE),"")</f>
        <v/>
      </c>
      <c r="J31" s="96" t="str">
        <f>IFERROR(VLOOKUP(ProcurarAluno,PresençasEmMarço[],10,FALSE),"")</f>
        <v/>
      </c>
      <c r="K31" s="96" t="str">
        <f>IFERROR(VLOOKUP(ProcurarAluno,PresençasEmMarço[],11,FALSE),"")</f>
        <v/>
      </c>
      <c r="L31" s="96" t="str">
        <f>IFERROR(VLOOKUP(ProcurarAluno,PresençasEmMarço[],12,FALSE),"")</f>
        <v/>
      </c>
      <c r="M31" s="96" t="str">
        <f>IFERROR(VLOOKUP(ProcurarAluno,PresençasEmMarço[],13,FALSE),"")</f>
        <v/>
      </c>
      <c r="N31" s="96" t="str">
        <f>IFERROR(VLOOKUP(ProcurarAluno,PresençasEmMarço[],14,FALSE),"")</f>
        <v/>
      </c>
      <c r="O31" s="96" t="str">
        <f>IFERROR(VLOOKUP(ProcurarAluno,PresençasEmMarço[],15,FALSE),"")</f>
        <v/>
      </c>
      <c r="P31" s="96" t="str">
        <f>IFERROR(VLOOKUP(ProcurarAluno,PresençasEmMarço[],16,FALSE),"")</f>
        <v/>
      </c>
      <c r="Q31" s="96" t="str">
        <f>IFERROR(VLOOKUP(ProcurarAluno,PresençasEmMarço[],17,FALSE),"")</f>
        <v/>
      </c>
      <c r="R31" s="96" t="str">
        <f>IFERROR(VLOOKUP(ProcurarAluno,PresençasEmMarço[],18,FALSE),"")</f>
        <v/>
      </c>
      <c r="S31" s="96" t="str">
        <f>IFERROR(VLOOKUP(ProcurarAluno,PresençasEmMarço[],19,FALSE),"")</f>
        <v/>
      </c>
      <c r="T31" s="96" t="str">
        <f>IFERROR(VLOOKUP(ProcurarAluno,PresençasEmMarço[],20,FALSE),"")</f>
        <v/>
      </c>
      <c r="U31" s="96" t="str">
        <f>IFERROR(VLOOKUP(ProcurarAluno,PresençasEmMarço[],21,FALSE),"")</f>
        <v/>
      </c>
      <c r="V31" s="96" t="str">
        <f>IFERROR(VLOOKUP(ProcurarAluno,PresençasEmMarço[],22,FALSE),"")</f>
        <v/>
      </c>
      <c r="W31" s="96" t="str">
        <f>IFERROR(VLOOKUP(ProcurarAluno,PresençasEmMarço[],23,FALSE),"")</f>
        <v/>
      </c>
      <c r="X31" s="96" t="str">
        <f>IFERROR(VLOOKUP(ProcurarAluno,PresençasEmMarço[],24,FALSE),"")</f>
        <v/>
      </c>
      <c r="Y31" s="96" t="str">
        <f>IFERROR(VLOOKUP(ProcurarAluno,PresençasEmMarço[],25,FALSE),"")</f>
        <v/>
      </c>
      <c r="Z31" s="96" t="str">
        <f>IFERROR(VLOOKUP(ProcurarAluno,PresençasEmMarço[],26,FALSE),"")</f>
        <v/>
      </c>
      <c r="AA31" s="96" t="str">
        <f>IFERROR(VLOOKUP(ProcurarAluno,PresençasEmMarço[],27,FALSE),"")</f>
        <v/>
      </c>
      <c r="AB31" s="96" t="str">
        <f>IFERROR(VLOOKUP(ProcurarAluno,PresençasEmMarço[],28,FALSE),"")</f>
        <v/>
      </c>
      <c r="AC31" s="96" t="str">
        <f>IFERROR(VLOOKUP(ProcurarAluno,PresençasEmMarço[],29,FALSE),"")</f>
        <v/>
      </c>
      <c r="AD31" s="96" t="str">
        <f>IFERROR(VLOOKUP(ProcurarAluno,PresençasEmMarço[],30,FALSE),"")</f>
        <v/>
      </c>
      <c r="AE31" s="96" t="str">
        <f>IFERROR(VLOOKUP(ProcurarAluno,PresençasEmMarço[],31,FALSE),"")</f>
        <v/>
      </c>
      <c r="AF31" s="96" t="str">
        <f>IFERROR(VLOOKUP(ProcurarAluno,PresençasEmMarço[],32,FALSE),"")</f>
        <v/>
      </c>
      <c r="AG31" s="96" t="str">
        <f>IFERROR(VLOOKUP(ProcurarAluno,PresençasEmMarço[],33,FALSE),"")</f>
        <v/>
      </c>
      <c r="AH31" s="124"/>
      <c r="AI31" s="124"/>
      <c r="AJ31" s="124"/>
      <c r="AK31" s="124"/>
    </row>
    <row r="32" spans="2:37" ht="14.25" x14ac:dyDescent="0.25">
      <c r="B32" s="123" t="s">
        <v>66</v>
      </c>
      <c r="C32" s="97">
        <v>1</v>
      </c>
      <c r="D32" s="97">
        <v>2</v>
      </c>
      <c r="E32" s="97">
        <v>3</v>
      </c>
      <c r="F32" s="97">
        <v>4</v>
      </c>
      <c r="G32" s="97">
        <v>5</v>
      </c>
      <c r="H32" s="97">
        <v>6</v>
      </c>
      <c r="I32" s="97">
        <v>7</v>
      </c>
      <c r="J32" s="97">
        <v>8</v>
      </c>
      <c r="K32" s="97">
        <v>9</v>
      </c>
      <c r="L32" s="97">
        <v>10</v>
      </c>
      <c r="M32" s="97">
        <v>11</v>
      </c>
      <c r="N32" s="97">
        <v>12</v>
      </c>
      <c r="O32" s="97">
        <v>13</v>
      </c>
      <c r="P32" s="97">
        <v>14</v>
      </c>
      <c r="Q32" s="97">
        <v>15</v>
      </c>
      <c r="R32" s="97">
        <v>16</v>
      </c>
      <c r="S32" s="97">
        <v>17</v>
      </c>
      <c r="T32" s="97">
        <v>18</v>
      </c>
      <c r="U32" s="97">
        <v>19</v>
      </c>
      <c r="V32" s="97">
        <v>20</v>
      </c>
      <c r="W32" s="97">
        <v>21</v>
      </c>
      <c r="X32" s="97">
        <v>22</v>
      </c>
      <c r="Y32" s="97">
        <v>23</v>
      </c>
      <c r="Z32" s="97">
        <v>24</v>
      </c>
      <c r="AA32" s="97">
        <v>25</v>
      </c>
      <c r="AB32" s="97">
        <v>26</v>
      </c>
      <c r="AC32" s="97">
        <v>27</v>
      </c>
      <c r="AD32" s="97">
        <v>28</v>
      </c>
      <c r="AE32" s="97">
        <v>29</v>
      </c>
      <c r="AF32" s="97">
        <v>30</v>
      </c>
      <c r="AG32" s="97"/>
      <c r="AH32" s="124">
        <f>COUNTIF($D33:$AH33,Código1)</f>
        <v>0</v>
      </c>
      <c r="AI32" s="124">
        <f>COUNTIF($D33:$AH33,Código2)</f>
        <v>0</v>
      </c>
      <c r="AJ32" s="124">
        <f>COUNTIF($D33:$AH33,Código3)</f>
        <v>0</v>
      </c>
      <c r="AK32" s="124">
        <f>COUNTIF($D33:$AH33,Código4)</f>
        <v>0</v>
      </c>
    </row>
    <row r="33" spans="2:37" ht="14.25" x14ac:dyDescent="0.25">
      <c r="B33" s="123"/>
      <c r="C33" s="96" t="str">
        <f>IFERROR(VLOOKUP(ProcurarAluno,PresençasEmAbril[],3,FALSE),"")</f>
        <v/>
      </c>
      <c r="D33" s="96" t="str">
        <f>IFERROR(VLOOKUP(ProcurarAluno,PresençasEmAbril[],4,FALSE),"")</f>
        <v/>
      </c>
      <c r="E33" s="96" t="str">
        <f>IFERROR(VLOOKUP(ProcurarAluno,PresençasEmAbril[],5,FALSE),"")</f>
        <v/>
      </c>
      <c r="F33" s="96" t="str">
        <f>IFERROR(VLOOKUP(ProcurarAluno,PresençasEmAbril[],6,FALSE),"")</f>
        <v/>
      </c>
      <c r="G33" s="96" t="str">
        <f>IFERROR(VLOOKUP(ProcurarAluno,PresençasEmAbril[],7,FALSE),"")</f>
        <v/>
      </c>
      <c r="H33" s="96" t="str">
        <f>IFERROR(VLOOKUP(ProcurarAluno,PresençasEmAbril[],8,FALSE),"")</f>
        <v/>
      </c>
      <c r="I33" s="96" t="str">
        <f>IFERROR(VLOOKUP(ProcurarAluno,PresençasEmAbril[],9,FALSE),"")</f>
        <v/>
      </c>
      <c r="J33" s="96" t="str">
        <f>IFERROR(VLOOKUP(ProcurarAluno,PresençasEmAbril[],10,FALSE),"")</f>
        <v/>
      </c>
      <c r="K33" s="96" t="str">
        <f>IFERROR(VLOOKUP(ProcurarAluno,PresençasEmAbril[],11,FALSE),"")</f>
        <v/>
      </c>
      <c r="L33" s="96" t="str">
        <f>IFERROR(VLOOKUP(ProcurarAluno,PresençasEmAbril[],12,FALSE),"")</f>
        <v/>
      </c>
      <c r="M33" s="96" t="str">
        <f>IFERROR(VLOOKUP(ProcurarAluno,PresençasEmAbril[],13,FALSE),"")</f>
        <v/>
      </c>
      <c r="N33" s="96" t="str">
        <f>IFERROR(VLOOKUP(ProcurarAluno,PresençasEmAbril[],14,FALSE),"")</f>
        <v/>
      </c>
      <c r="O33" s="96" t="str">
        <f>IFERROR(VLOOKUP(ProcurarAluno,PresençasEmAbril[],15,FALSE),"")</f>
        <v/>
      </c>
      <c r="P33" s="96" t="str">
        <f>IFERROR(VLOOKUP(ProcurarAluno,PresençasEmAbril[],16,FALSE),"")</f>
        <v/>
      </c>
      <c r="Q33" s="96" t="str">
        <f>IFERROR(VLOOKUP(ProcurarAluno,PresençasEmAbril[],17,FALSE),"")</f>
        <v/>
      </c>
      <c r="R33" s="96" t="str">
        <f>IFERROR(VLOOKUP(ProcurarAluno,PresençasEmAbril[],18,FALSE),"")</f>
        <v/>
      </c>
      <c r="S33" s="96" t="str">
        <f>IFERROR(VLOOKUP(ProcurarAluno,PresençasEmAbril[],19,FALSE),"")</f>
        <v/>
      </c>
      <c r="T33" s="96" t="str">
        <f>IFERROR(VLOOKUP(ProcurarAluno,PresençasEmAbril[],20,FALSE),"")</f>
        <v/>
      </c>
      <c r="U33" s="96" t="str">
        <f>IFERROR(VLOOKUP(ProcurarAluno,PresençasEmAbril[],21,FALSE),"")</f>
        <v/>
      </c>
      <c r="V33" s="96" t="str">
        <f>IFERROR(VLOOKUP(ProcurarAluno,PresençasEmAbril[],22,FALSE),"")</f>
        <v/>
      </c>
      <c r="W33" s="96" t="str">
        <f>IFERROR(VLOOKUP(ProcurarAluno,PresençasEmAbril[],23,FALSE),"")</f>
        <v/>
      </c>
      <c r="X33" s="96" t="str">
        <f>IFERROR(VLOOKUP(ProcurarAluno,PresençasEmAbril[],24,FALSE),"")</f>
        <v/>
      </c>
      <c r="Y33" s="96" t="str">
        <f>IFERROR(VLOOKUP(ProcurarAluno,PresençasEmAbril[],25,FALSE),"")</f>
        <v/>
      </c>
      <c r="Z33" s="96" t="str">
        <f>IFERROR(VLOOKUP(ProcurarAluno,PresençasEmAbril[],26,FALSE),"")</f>
        <v/>
      </c>
      <c r="AA33" s="96" t="str">
        <f>IFERROR(VLOOKUP(ProcurarAluno,PresençasEmAbril[],27,FALSE),"")</f>
        <v/>
      </c>
      <c r="AB33" s="96" t="str">
        <f>IFERROR(VLOOKUP(ProcurarAluno,PresençasEmAbril[],28,FALSE),"")</f>
        <v/>
      </c>
      <c r="AC33" s="96" t="str">
        <f>IFERROR(VLOOKUP(ProcurarAluno,PresençasEmAbril[],29,FALSE),"")</f>
        <v/>
      </c>
      <c r="AD33" s="96" t="str">
        <f>IFERROR(VLOOKUP(ProcurarAluno,PresençasEmAbril[],30,FALSE),"")</f>
        <v/>
      </c>
      <c r="AE33" s="96" t="str">
        <f>IFERROR(VLOOKUP(ProcurarAluno,PresençasEmAbril[],31,FALSE),"")</f>
        <v/>
      </c>
      <c r="AF33" s="96" t="str">
        <f>IFERROR(VLOOKUP(ProcurarAluno,PresençasEmAbril[],32,FALSE),"")</f>
        <v/>
      </c>
      <c r="AG33" s="96"/>
      <c r="AH33" s="124"/>
      <c r="AI33" s="124"/>
      <c r="AJ33" s="124"/>
      <c r="AK33" s="124"/>
    </row>
    <row r="34" spans="2:37" ht="14.25" x14ac:dyDescent="0.25">
      <c r="B34" s="123" t="s">
        <v>67</v>
      </c>
      <c r="C34" s="97">
        <v>1</v>
      </c>
      <c r="D34" s="97">
        <v>2</v>
      </c>
      <c r="E34" s="97">
        <v>3</v>
      </c>
      <c r="F34" s="97">
        <v>4</v>
      </c>
      <c r="G34" s="97">
        <v>5</v>
      </c>
      <c r="H34" s="97">
        <v>6</v>
      </c>
      <c r="I34" s="97">
        <v>7</v>
      </c>
      <c r="J34" s="97">
        <v>8</v>
      </c>
      <c r="K34" s="97">
        <v>9</v>
      </c>
      <c r="L34" s="97">
        <v>10</v>
      </c>
      <c r="M34" s="97">
        <v>11</v>
      </c>
      <c r="N34" s="97">
        <v>12</v>
      </c>
      <c r="O34" s="97">
        <v>13</v>
      </c>
      <c r="P34" s="97">
        <v>14</v>
      </c>
      <c r="Q34" s="97">
        <v>15</v>
      </c>
      <c r="R34" s="97">
        <v>16</v>
      </c>
      <c r="S34" s="97">
        <v>17</v>
      </c>
      <c r="T34" s="97">
        <v>18</v>
      </c>
      <c r="U34" s="97">
        <v>19</v>
      </c>
      <c r="V34" s="97">
        <v>20</v>
      </c>
      <c r="W34" s="97">
        <v>21</v>
      </c>
      <c r="X34" s="97">
        <v>22</v>
      </c>
      <c r="Y34" s="97">
        <v>23</v>
      </c>
      <c r="Z34" s="97">
        <v>24</v>
      </c>
      <c r="AA34" s="97">
        <v>25</v>
      </c>
      <c r="AB34" s="97">
        <v>26</v>
      </c>
      <c r="AC34" s="97">
        <v>27</v>
      </c>
      <c r="AD34" s="97">
        <v>28</v>
      </c>
      <c r="AE34" s="97">
        <v>29</v>
      </c>
      <c r="AF34" s="97">
        <v>30</v>
      </c>
      <c r="AG34" s="97">
        <v>31</v>
      </c>
      <c r="AH34" s="124">
        <f>COUNTIF($D35:$AH35,Código1)</f>
        <v>0</v>
      </c>
      <c r="AI34" s="124">
        <f>COUNTIF($D35:$AH35,Código2)</f>
        <v>0</v>
      </c>
      <c r="AJ34" s="124">
        <f>COUNTIF($D35:$AH35,Código3)</f>
        <v>0</v>
      </c>
      <c r="AK34" s="124">
        <f>COUNTIF($D35:$AH35,Código4)</f>
        <v>0</v>
      </c>
    </row>
    <row r="35" spans="2:37" ht="14.25" x14ac:dyDescent="0.25">
      <c r="B35" s="123"/>
      <c r="C35" s="96" t="str">
        <f>IFERROR(VLOOKUP(ProcurarAluno,PresençasEmMaio[],3,FALSE),"")</f>
        <v/>
      </c>
      <c r="D35" s="96" t="str">
        <f>IFERROR(VLOOKUP(ProcurarAluno,PresençasEmMaio[],4,FALSE),"")</f>
        <v/>
      </c>
      <c r="E35" s="96" t="str">
        <f>IFERROR(VLOOKUP(ProcurarAluno,PresençasEmMaio[],5,FALSE),"")</f>
        <v/>
      </c>
      <c r="F35" s="96" t="str">
        <f>IFERROR(VLOOKUP(ProcurarAluno,PresençasEmMaio[],6,FALSE),"")</f>
        <v/>
      </c>
      <c r="G35" s="96" t="str">
        <f>IFERROR(VLOOKUP(ProcurarAluno,PresençasEmMaio[],7,FALSE),"")</f>
        <v/>
      </c>
      <c r="H35" s="96" t="str">
        <f>IFERROR(VLOOKUP(ProcurarAluno,PresençasEmMaio[],8,FALSE),"")</f>
        <v/>
      </c>
      <c r="I35" s="96" t="str">
        <f>IFERROR(VLOOKUP(ProcurarAluno,PresençasEmMaio[],9,FALSE),"")</f>
        <v/>
      </c>
      <c r="J35" s="96" t="str">
        <f>IFERROR(VLOOKUP(ProcurarAluno,PresençasEmMaio[],10,FALSE),"")</f>
        <v/>
      </c>
      <c r="K35" s="96" t="str">
        <f>IFERROR(VLOOKUP(ProcurarAluno,PresençasEmMaio[],11,FALSE),"")</f>
        <v/>
      </c>
      <c r="L35" s="96" t="str">
        <f>IFERROR(VLOOKUP(ProcurarAluno,PresençasEmMaio[],12,FALSE),"")</f>
        <v/>
      </c>
      <c r="M35" s="96" t="str">
        <f>IFERROR(VLOOKUP(ProcurarAluno,PresençasEmMaio[],13,FALSE),"")</f>
        <v/>
      </c>
      <c r="N35" s="96" t="str">
        <f>IFERROR(VLOOKUP(ProcurarAluno,PresençasEmMaio[],14,FALSE),"")</f>
        <v/>
      </c>
      <c r="O35" s="96" t="str">
        <f>IFERROR(VLOOKUP(ProcurarAluno,PresençasEmMaio[],15,FALSE),"")</f>
        <v/>
      </c>
      <c r="P35" s="96" t="str">
        <f>IFERROR(VLOOKUP(ProcurarAluno,PresençasEmMaio[],16,FALSE),"")</f>
        <v/>
      </c>
      <c r="Q35" s="96" t="str">
        <f>IFERROR(VLOOKUP(ProcurarAluno,PresençasEmMaio[],17,FALSE),"")</f>
        <v/>
      </c>
      <c r="R35" s="96" t="str">
        <f>IFERROR(VLOOKUP(ProcurarAluno,PresençasEmMaio[],18,FALSE),"")</f>
        <v/>
      </c>
      <c r="S35" s="96" t="str">
        <f>IFERROR(VLOOKUP(ProcurarAluno,PresençasEmMaio[],19,FALSE),"")</f>
        <v/>
      </c>
      <c r="T35" s="96" t="str">
        <f>IFERROR(VLOOKUP(ProcurarAluno,PresençasEmMaio[],20,FALSE),"")</f>
        <v/>
      </c>
      <c r="U35" s="96" t="str">
        <f>IFERROR(VLOOKUP(ProcurarAluno,PresençasEmMaio[],21,FALSE),"")</f>
        <v/>
      </c>
      <c r="V35" s="96" t="str">
        <f>IFERROR(VLOOKUP(ProcurarAluno,PresençasEmMaio[],22,FALSE),"")</f>
        <v/>
      </c>
      <c r="W35" s="96" t="str">
        <f>IFERROR(VLOOKUP(ProcurarAluno,PresençasEmMaio[],23,FALSE),"")</f>
        <v/>
      </c>
      <c r="X35" s="96" t="str">
        <f>IFERROR(VLOOKUP(ProcurarAluno,PresençasEmMaio[],24,FALSE),"")</f>
        <v/>
      </c>
      <c r="Y35" s="96" t="str">
        <f>IFERROR(VLOOKUP(ProcurarAluno,PresençasEmMaio[],25,FALSE),"")</f>
        <v/>
      </c>
      <c r="Z35" s="96" t="str">
        <f>IFERROR(VLOOKUP(ProcurarAluno,PresençasEmMaio[],26,FALSE),"")</f>
        <v/>
      </c>
      <c r="AA35" s="96" t="str">
        <f>IFERROR(VLOOKUP(ProcurarAluno,PresençasEmMaio[],27,FALSE),"")</f>
        <v/>
      </c>
      <c r="AB35" s="96" t="str">
        <f>IFERROR(VLOOKUP(ProcurarAluno,PresençasEmMaio[],28,FALSE),"")</f>
        <v/>
      </c>
      <c r="AC35" s="96" t="str">
        <f>IFERROR(VLOOKUP(ProcurarAluno,PresençasEmMaio[],29,FALSE),"")</f>
        <v/>
      </c>
      <c r="AD35" s="96" t="str">
        <f>IFERROR(VLOOKUP(ProcurarAluno,PresençasEmMaio[],30,FALSE),"")</f>
        <v/>
      </c>
      <c r="AE35" s="96" t="str">
        <f>IFERROR(VLOOKUP(ProcurarAluno,PresençasEmMaio[],31,FALSE),"")</f>
        <v/>
      </c>
      <c r="AF35" s="96" t="str">
        <f>IFERROR(VLOOKUP(ProcurarAluno,PresençasEmMaio[],32,FALSE),"")</f>
        <v/>
      </c>
      <c r="AG35" s="96" t="str">
        <f>IFERROR(VLOOKUP(ProcurarAluno,PresençasEmMaio[],33,FALSE),"")</f>
        <v/>
      </c>
      <c r="AH35" s="124"/>
      <c r="AI35" s="124"/>
      <c r="AJ35" s="124"/>
      <c r="AK35" s="124"/>
    </row>
    <row r="36" spans="2:37" ht="14.25" x14ac:dyDescent="0.25">
      <c r="B36" s="125" t="s">
        <v>68</v>
      </c>
      <c r="C36" s="97">
        <v>1</v>
      </c>
      <c r="D36" s="97">
        <v>2</v>
      </c>
      <c r="E36" s="97">
        <v>3</v>
      </c>
      <c r="F36" s="97">
        <v>4</v>
      </c>
      <c r="G36" s="97">
        <v>5</v>
      </c>
      <c r="H36" s="97">
        <v>6</v>
      </c>
      <c r="I36" s="97">
        <v>7</v>
      </c>
      <c r="J36" s="97">
        <v>8</v>
      </c>
      <c r="K36" s="97">
        <v>9</v>
      </c>
      <c r="L36" s="97">
        <v>10</v>
      </c>
      <c r="M36" s="97">
        <v>11</v>
      </c>
      <c r="N36" s="97">
        <v>12</v>
      </c>
      <c r="O36" s="97">
        <v>13</v>
      </c>
      <c r="P36" s="97">
        <v>14</v>
      </c>
      <c r="Q36" s="97">
        <v>15</v>
      </c>
      <c r="R36" s="97">
        <v>16</v>
      </c>
      <c r="S36" s="97">
        <v>17</v>
      </c>
      <c r="T36" s="97">
        <v>18</v>
      </c>
      <c r="U36" s="97">
        <v>19</v>
      </c>
      <c r="V36" s="97">
        <v>20</v>
      </c>
      <c r="W36" s="97">
        <v>21</v>
      </c>
      <c r="X36" s="97">
        <v>22</v>
      </c>
      <c r="Y36" s="97">
        <v>23</v>
      </c>
      <c r="Z36" s="97">
        <v>24</v>
      </c>
      <c r="AA36" s="97">
        <v>25</v>
      </c>
      <c r="AB36" s="97">
        <v>26</v>
      </c>
      <c r="AC36" s="97">
        <v>27</v>
      </c>
      <c r="AD36" s="97">
        <v>28</v>
      </c>
      <c r="AE36" s="97">
        <v>29</v>
      </c>
      <c r="AF36" s="97">
        <v>30</v>
      </c>
      <c r="AG36" s="97"/>
      <c r="AH36" s="120">
        <f>COUNTIF($D37:$AH37,Código1)</f>
        <v>0</v>
      </c>
      <c r="AI36" s="120">
        <f>COUNTIF($D37:$AH37,Código2)</f>
        <v>0</v>
      </c>
      <c r="AJ36" s="120">
        <f>COUNTIF($D37:$AH37,Código3)</f>
        <v>0</v>
      </c>
      <c r="AK36" s="120">
        <f>COUNTIF($D37:$AH37,Código4)</f>
        <v>0</v>
      </c>
    </row>
    <row r="37" spans="2:37" ht="14.25" x14ac:dyDescent="0.25">
      <c r="B37" s="126"/>
      <c r="C37" s="96" t="str">
        <f>IFERROR(VLOOKUP(ProcurarAluno,PresençasEmJunho[],3,FALSE),"")</f>
        <v/>
      </c>
      <c r="D37" s="96" t="str">
        <f>IFERROR(VLOOKUP(ProcurarAluno,PresençasEmJunho[],4,FALSE),"")</f>
        <v/>
      </c>
      <c r="E37" s="96" t="str">
        <f>IFERROR(VLOOKUP(ProcurarAluno,PresençasEmJunho[],5,FALSE),"")</f>
        <v/>
      </c>
      <c r="F37" s="96" t="str">
        <f>IFERROR(VLOOKUP(ProcurarAluno,PresençasEmJunho[],6,FALSE),"")</f>
        <v/>
      </c>
      <c r="G37" s="96" t="str">
        <f>IFERROR(VLOOKUP(ProcurarAluno,PresençasEmJunho[],7,FALSE),"")</f>
        <v/>
      </c>
      <c r="H37" s="96" t="str">
        <f>IFERROR(VLOOKUP(ProcurarAluno,PresençasEmJunho[],8,FALSE),"")</f>
        <v/>
      </c>
      <c r="I37" s="96" t="str">
        <f>IFERROR(VLOOKUP(ProcurarAluno,PresençasEmJunho[],9,FALSE),"")</f>
        <v/>
      </c>
      <c r="J37" s="96" t="str">
        <f>IFERROR(VLOOKUP(ProcurarAluno,PresençasEmJunho[],10,FALSE),"")</f>
        <v/>
      </c>
      <c r="K37" s="96" t="str">
        <f>IFERROR(VLOOKUP(ProcurarAluno,PresençasEmJunho[],11,FALSE),"")</f>
        <v/>
      </c>
      <c r="L37" s="96" t="str">
        <f>IFERROR(VLOOKUP(ProcurarAluno,PresençasEmJunho[],12,FALSE),"")</f>
        <v/>
      </c>
      <c r="M37" s="96" t="str">
        <f>IFERROR(VLOOKUP(ProcurarAluno,PresençasEmJunho[],13,FALSE),"")</f>
        <v/>
      </c>
      <c r="N37" s="96" t="str">
        <f>IFERROR(VLOOKUP(ProcurarAluno,PresençasEmJunho[],14,FALSE),"")</f>
        <v/>
      </c>
      <c r="O37" s="96" t="str">
        <f>IFERROR(VLOOKUP(ProcurarAluno,PresençasEmJunho[],15,FALSE),"")</f>
        <v/>
      </c>
      <c r="P37" s="96" t="str">
        <f>IFERROR(VLOOKUP(ProcurarAluno,PresençasEmJunho[],16,FALSE),"")</f>
        <v/>
      </c>
      <c r="Q37" s="96" t="str">
        <f>IFERROR(VLOOKUP(ProcurarAluno,PresençasEmJunho[],17,FALSE),"")</f>
        <v/>
      </c>
      <c r="R37" s="96" t="str">
        <f>IFERROR(VLOOKUP(ProcurarAluno,PresençasEmJunho[],18,FALSE),"")</f>
        <v/>
      </c>
      <c r="S37" s="96" t="str">
        <f>IFERROR(VLOOKUP(ProcurarAluno,PresençasEmJunho[],19,FALSE),"")</f>
        <v/>
      </c>
      <c r="T37" s="96" t="str">
        <f>IFERROR(VLOOKUP(ProcurarAluno,PresençasEmJunho[],20,FALSE),"")</f>
        <v/>
      </c>
      <c r="U37" s="96" t="str">
        <f>IFERROR(VLOOKUP(ProcurarAluno,PresençasEmJunho[],21,FALSE),"")</f>
        <v/>
      </c>
      <c r="V37" s="96" t="str">
        <f>IFERROR(VLOOKUP(ProcurarAluno,PresençasEmJunho[],22,FALSE),"")</f>
        <v/>
      </c>
      <c r="W37" s="96" t="str">
        <f>IFERROR(VLOOKUP(ProcurarAluno,PresençasEmJunho[],23,FALSE),"")</f>
        <v/>
      </c>
      <c r="X37" s="96" t="str">
        <f>IFERROR(VLOOKUP(ProcurarAluno,PresençasEmJunho[],24,FALSE),"")</f>
        <v/>
      </c>
      <c r="Y37" s="96" t="str">
        <f>IFERROR(VLOOKUP(ProcurarAluno,PresençasEmJunho[],25,FALSE),"")</f>
        <v/>
      </c>
      <c r="Z37" s="96" t="str">
        <f>IFERROR(VLOOKUP(ProcurarAluno,PresençasEmJunho[],26,FALSE),"")</f>
        <v/>
      </c>
      <c r="AA37" s="96" t="str">
        <f>IFERROR(VLOOKUP(ProcurarAluno,PresençasEmJunho[],27,FALSE),"")</f>
        <v/>
      </c>
      <c r="AB37" s="96" t="str">
        <f>IFERROR(VLOOKUP(ProcurarAluno,PresençasEmJunho[],28,FALSE),"")</f>
        <v/>
      </c>
      <c r="AC37" s="96" t="str">
        <f>IFERROR(VLOOKUP(ProcurarAluno,PresençasEmJunho[],29,FALSE),"")</f>
        <v/>
      </c>
      <c r="AD37" s="96" t="str">
        <f>IFERROR(VLOOKUP(ProcurarAluno,PresençasEmJunho[],30,FALSE),"")</f>
        <v/>
      </c>
      <c r="AE37" s="96" t="str">
        <f>IFERROR(VLOOKUP(ProcurarAluno,PresençasEmJunho[],31,FALSE),"")</f>
        <v/>
      </c>
      <c r="AF37" s="96" t="str">
        <f>IFERROR(VLOOKUP(ProcurarAluno,PresençasEmJunho[],32,FALSE),"")</f>
        <v/>
      </c>
      <c r="AG37" s="96"/>
      <c r="AH37" s="121"/>
      <c r="AI37" s="121"/>
      <c r="AJ37" s="121"/>
      <c r="AK37" s="121"/>
    </row>
    <row r="38" spans="2:37" ht="14.25" x14ac:dyDescent="0.25">
      <c r="B38" s="125" t="s">
        <v>69</v>
      </c>
      <c r="C38" s="97">
        <v>1</v>
      </c>
      <c r="D38" s="97">
        <v>2</v>
      </c>
      <c r="E38" s="97">
        <v>3</v>
      </c>
      <c r="F38" s="97">
        <v>4</v>
      </c>
      <c r="G38" s="97">
        <v>5</v>
      </c>
      <c r="H38" s="97">
        <v>6</v>
      </c>
      <c r="I38" s="97">
        <v>7</v>
      </c>
      <c r="J38" s="97">
        <v>8</v>
      </c>
      <c r="K38" s="97">
        <v>9</v>
      </c>
      <c r="L38" s="97">
        <v>10</v>
      </c>
      <c r="M38" s="97">
        <v>11</v>
      </c>
      <c r="N38" s="97">
        <v>12</v>
      </c>
      <c r="O38" s="97">
        <v>13</v>
      </c>
      <c r="P38" s="97">
        <v>14</v>
      </c>
      <c r="Q38" s="97">
        <v>15</v>
      </c>
      <c r="R38" s="97">
        <v>16</v>
      </c>
      <c r="S38" s="97">
        <v>17</v>
      </c>
      <c r="T38" s="97">
        <v>18</v>
      </c>
      <c r="U38" s="97">
        <v>19</v>
      </c>
      <c r="V38" s="97">
        <v>20</v>
      </c>
      <c r="W38" s="97">
        <v>21</v>
      </c>
      <c r="X38" s="97">
        <v>22</v>
      </c>
      <c r="Y38" s="97">
        <v>23</v>
      </c>
      <c r="Z38" s="97">
        <v>24</v>
      </c>
      <c r="AA38" s="97">
        <v>25</v>
      </c>
      <c r="AB38" s="97">
        <v>26</v>
      </c>
      <c r="AC38" s="97">
        <v>27</v>
      </c>
      <c r="AD38" s="97">
        <v>28</v>
      </c>
      <c r="AE38" s="97">
        <v>29</v>
      </c>
      <c r="AF38" s="97">
        <v>30</v>
      </c>
      <c r="AG38" s="97">
        <v>31</v>
      </c>
      <c r="AH38" s="120">
        <f>COUNTIF($D39:$AH39,Código1)</f>
        <v>0</v>
      </c>
      <c r="AI38" s="120">
        <f>COUNTIF($D39:$AH39,Código2)</f>
        <v>0</v>
      </c>
      <c r="AJ38" s="120">
        <f>COUNTIF($D39:$AH39,Código3)</f>
        <v>0</v>
      </c>
      <c r="AK38" s="120">
        <f>COUNTIF($D39:$AH39,Código4)</f>
        <v>0</v>
      </c>
    </row>
    <row r="39" spans="2:37" ht="14.25" x14ac:dyDescent="0.25">
      <c r="B39" s="126"/>
      <c r="C39" s="96" t="str">
        <f>IFERROR(VLOOKUP(ProcurarAluno,PresençasEmJulho[],3,FALSE),"")</f>
        <v/>
      </c>
      <c r="D39" s="96" t="str">
        <f>IFERROR(VLOOKUP(ProcurarAluno,PresençasEmJulho[],4,FALSE),"")</f>
        <v/>
      </c>
      <c r="E39" s="96" t="str">
        <f>IFERROR(VLOOKUP(ProcurarAluno,PresençasEmJulho[],5,FALSE),"")</f>
        <v/>
      </c>
      <c r="F39" s="96" t="str">
        <f>IFERROR(VLOOKUP(ProcurarAluno,PresençasEmJulho[],6,FALSE),"")</f>
        <v/>
      </c>
      <c r="G39" s="96" t="str">
        <f>IFERROR(VLOOKUP(ProcurarAluno,PresençasEmJulho[],7,FALSE),"")</f>
        <v/>
      </c>
      <c r="H39" s="96" t="str">
        <f>IFERROR(VLOOKUP(ProcurarAluno,PresençasEmJulho[],8,FALSE),"")</f>
        <v/>
      </c>
      <c r="I39" s="96" t="str">
        <f>IFERROR(VLOOKUP(ProcurarAluno,PresençasEmJulho[],9,FALSE),"")</f>
        <v/>
      </c>
      <c r="J39" s="96" t="str">
        <f>IFERROR(VLOOKUP(ProcurarAluno,PresençasEmJulho[],10,FALSE),"")</f>
        <v/>
      </c>
      <c r="K39" s="96" t="str">
        <f>IFERROR(VLOOKUP(ProcurarAluno,PresençasEmJulho[],11,FALSE),"")</f>
        <v/>
      </c>
      <c r="L39" s="96" t="str">
        <f>IFERROR(VLOOKUP(ProcurarAluno,PresençasEmJulho[],12,FALSE),"")</f>
        <v/>
      </c>
      <c r="M39" s="96" t="str">
        <f>IFERROR(VLOOKUP(ProcurarAluno,PresençasEmJulho[],13,FALSE),"")</f>
        <v/>
      </c>
      <c r="N39" s="96" t="str">
        <f>IFERROR(VLOOKUP(ProcurarAluno,PresençasEmJulho[],14,FALSE),"")</f>
        <v/>
      </c>
      <c r="O39" s="96" t="str">
        <f>IFERROR(VLOOKUP(ProcurarAluno,PresençasEmJulho[],15,FALSE),"")</f>
        <v/>
      </c>
      <c r="P39" s="96" t="str">
        <f>IFERROR(VLOOKUP(ProcurarAluno,PresençasEmJulho[],16,FALSE),"")</f>
        <v/>
      </c>
      <c r="Q39" s="96" t="str">
        <f>IFERROR(VLOOKUP(ProcurarAluno,PresençasEmJulho[],17,FALSE),"")</f>
        <v/>
      </c>
      <c r="R39" s="96" t="str">
        <f>IFERROR(VLOOKUP(ProcurarAluno,PresençasEmJulho[],18,FALSE),"")</f>
        <v/>
      </c>
      <c r="S39" s="96" t="str">
        <f>IFERROR(VLOOKUP(ProcurarAluno,PresençasEmJulho[],19,FALSE),"")</f>
        <v/>
      </c>
      <c r="T39" s="96" t="str">
        <f>IFERROR(VLOOKUP(ProcurarAluno,PresençasEmJulho[],20,FALSE),"")</f>
        <v/>
      </c>
      <c r="U39" s="96" t="str">
        <f>IFERROR(VLOOKUP(ProcurarAluno,PresençasEmJulho[],21,FALSE),"")</f>
        <v/>
      </c>
      <c r="V39" s="96" t="str">
        <f>IFERROR(VLOOKUP(ProcurarAluno,PresençasEmJulho[],22,FALSE),"")</f>
        <v/>
      </c>
      <c r="W39" s="96" t="str">
        <f>IFERROR(VLOOKUP(ProcurarAluno,PresençasEmJulho[],23,FALSE),"")</f>
        <v/>
      </c>
      <c r="X39" s="96" t="str">
        <f>IFERROR(VLOOKUP(ProcurarAluno,PresençasEmJulho[],24,FALSE),"")</f>
        <v/>
      </c>
      <c r="Y39" s="96" t="str">
        <f>IFERROR(VLOOKUP(ProcurarAluno,PresençasEmJulho[],25,FALSE),"")</f>
        <v/>
      </c>
      <c r="Z39" s="96" t="str">
        <f>IFERROR(VLOOKUP(ProcurarAluno,PresençasEmJulho[],26,FALSE),"")</f>
        <v/>
      </c>
      <c r="AA39" s="96" t="str">
        <f>IFERROR(VLOOKUP(ProcurarAluno,PresençasEmJulho[],27,FALSE),"")</f>
        <v/>
      </c>
      <c r="AB39" s="96" t="str">
        <f>IFERROR(VLOOKUP(ProcurarAluno,PresençasEmJulho[],28,FALSE),"")</f>
        <v/>
      </c>
      <c r="AC39" s="96" t="str">
        <f>IFERROR(VLOOKUP(ProcurarAluno,PresençasEmJulho[],29,FALSE),"")</f>
        <v/>
      </c>
      <c r="AD39" s="96" t="str">
        <f>IFERROR(VLOOKUP(ProcurarAluno,PresençasEmJulho[],30,FALSE),"")</f>
        <v/>
      </c>
      <c r="AE39" s="96" t="str">
        <f>IFERROR(VLOOKUP(ProcurarAluno,PresençasEmJulho[],31,FALSE),"")</f>
        <v/>
      </c>
      <c r="AF39" s="96" t="str">
        <f>IFERROR(VLOOKUP(ProcurarAluno,PresençasEmJulho[],32,FALSE),"")</f>
        <v/>
      </c>
      <c r="AG39" s="96" t="str">
        <f>IFERROR(VLOOKUP(ProcurarAluno,PresençasEmJulho[],33,FALSE),"")</f>
        <v/>
      </c>
      <c r="AH39" s="121"/>
      <c r="AI39" s="121"/>
      <c r="AJ39" s="121"/>
      <c r="AK39" s="121"/>
    </row>
    <row r="40" spans="2:37" ht="14.25" x14ac:dyDescent="0.3">
      <c r="B40" s="98"/>
      <c r="C40" s="98"/>
      <c r="D40" s="98"/>
      <c r="E40" s="98"/>
      <c r="F40" s="98"/>
      <c r="G40" s="98"/>
      <c r="H40" s="98"/>
      <c r="I40" s="98"/>
      <c r="J40" s="98"/>
      <c r="K40" s="98"/>
      <c r="L40" s="98"/>
      <c r="M40" s="98"/>
      <c r="N40" s="98"/>
      <c r="O40" s="98"/>
      <c r="P40" s="98"/>
      <c r="Q40" s="98"/>
      <c r="R40" s="98"/>
      <c r="S40" s="99"/>
      <c r="T40" s="99"/>
      <c r="U40" s="99"/>
      <c r="V40" s="99"/>
      <c r="W40" s="99"/>
      <c r="X40" s="99"/>
      <c r="Y40" s="99"/>
      <c r="Z40" s="99"/>
      <c r="AA40" s="99"/>
      <c r="AB40" s="99"/>
      <c r="AC40" s="99"/>
      <c r="AD40" s="99"/>
      <c r="AE40" s="122" t="s">
        <v>40</v>
      </c>
      <c r="AF40" s="122"/>
      <c r="AG40" s="122"/>
      <c r="AH40" s="100">
        <f>SUM(AH16:AH39)</f>
        <v>2</v>
      </c>
      <c r="AI40" s="100">
        <f>SUM(AI16:AI39)</f>
        <v>1</v>
      </c>
      <c r="AJ40" s="100">
        <f>SUM(AJ16:AJ39)</f>
        <v>0</v>
      </c>
      <c r="AK40" s="100">
        <f>SUM(AK16:AK39)</f>
        <v>19</v>
      </c>
    </row>
  </sheetData>
  <sheetProtection formatColumns="0" formatRows="0" selectLockedCells="1"/>
  <mergeCells count="100">
    <mergeCell ref="AE5:AK5"/>
    <mergeCell ref="B6:J6"/>
    <mergeCell ref="K6:V6"/>
    <mergeCell ref="W6:AD6"/>
    <mergeCell ref="AE6:AK6"/>
    <mergeCell ref="B5:J5"/>
    <mergeCell ref="K5:V5"/>
    <mergeCell ref="B7:J7"/>
    <mergeCell ref="K7:V7"/>
    <mergeCell ref="W7:AD7"/>
    <mergeCell ref="AE7:AK7"/>
    <mergeCell ref="B8:J8"/>
    <mergeCell ref="K8:V8"/>
    <mergeCell ref="W8:AD8"/>
    <mergeCell ref="AE8:AK8"/>
    <mergeCell ref="P3:R3"/>
    <mergeCell ref="S3:V3"/>
    <mergeCell ref="W3:AD3"/>
    <mergeCell ref="W5:AD5"/>
    <mergeCell ref="P4:R4"/>
    <mergeCell ref="S4:V4"/>
    <mergeCell ref="W4:AD4"/>
    <mergeCell ref="B4:C4"/>
    <mergeCell ref="D4:O4"/>
    <mergeCell ref="D3:O3"/>
    <mergeCell ref="B14:AG15"/>
    <mergeCell ref="AE3:AF3"/>
    <mergeCell ref="AE4:AF4"/>
    <mergeCell ref="AG3:AJ3"/>
    <mergeCell ref="AG4:AJ4"/>
    <mergeCell ref="B9:J9"/>
    <mergeCell ref="K9:V9"/>
    <mergeCell ref="W9:AD9"/>
    <mergeCell ref="AE9:AK9"/>
    <mergeCell ref="B10:J10"/>
    <mergeCell ref="K10:V10"/>
    <mergeCell ref="W10:AD10"/>
    <mergeCell ref="AE10:AK10"/>
    <mergeCell ref="AH14:AK14"/>
    <mergeCell ref="B16:B17"/>
    <mergeCell ref="AH16:AH17"/>
    <mergeCell ref="AI16:AI17"/>
    <mergeCell ref="AJ16:AJ17"/>
    <mergeCell ref="AK16:AK17"/>
    <mergeCell ref="B20:B21"/>
    <mergeCell ref="AH20:AH21"/>
    <mergeCell ref="AI20:AI21"/>
    <mergeCell ref="AJ20:AJ21"/>
    <mergeCell ref="AK20:AK21"/>
    <mergeCell ref="B18:B19"/>
    <mergeCell ref="AH18:AH19"/>
    <mergeCell ref="AI18:AI19"/>
    <mergeCell ref="AJ18:AJ19"/>
    <mergeCell ref="AK18:AK19"/>
    <mergeCell ref="B24:B25"/>
    <mergeCell ref="AH24:AH25"/>
    <mergeCell ref="AI24:AI25"/>
    <mergeCell ref="AJ24:AJ25"/>
    <mergeCell ref="AK24:AK25"/>
    <mergeCell ref="B22:B23"/>
    <mergeCell ref="AH22:AH23"/>
    <mergeCell ref="AI22:AI23"/>
    <mergeCell ref="AJ22:AJ23"/>
    <mergeCell ref="AK22:AK23"/>
    <mergeCell ref="B28:B29"/>
    <mergeCell ref="AH28:AH29"/>
    <mergeCell ref="AI28:AI29"/>
    <mergeCell ref="AJ28:AJ29"/>
    <mergeCell ref="AK28:AK29"/>
    <mergeCell ref="B26:B27"/>
    <mergeCell ref="AH26:AH27"/>
    <mergeCell ref="AI26:AI27"/>
    <mergeCell ref="AJ26:AJ27"/>
    <mergeCell ref="AK26:AK27"/>
    <mergeCell ref="B32:B33"/>
    <mergeCell ref="AH32:AH33"/>
    <mergeCell ref="AI32:AI33"/>
    <mergeCell ref="AJ32:AJ33"/>
    <mergeCell ref="AK32:AK33"/>
    <mergeCell ref="B30:B31"/>
    <mergeCell ref="AH30:AH31"/>
    <mergeCell ref="AI30:AI31"/>
    <mergeCell ref="AJ30:AJ31"/>
    <mergeCell ref="AK30:AK31"/>
    <mergeCell ref="AK38:AK39"/>
    <mergeCell ref="AE40:AG40"/>
    <mergeCell ref="B34:B35"/>
    <mergeCell ref="AH34:AH35"/>
    <mergeCell ref="AI34:AI35"/>
    <mergeCell ref="AJ34:AJ35"/>
    <mergeCell ref="B38:B39"/>
    <mergeCell ref="AH38:AH39"/>
    <mergeCell ref="AI38:AI39"/>
    <mergeCell ref="AJ38:AJ39"/>
    <mergeCell ref="AK34:AK35"/>
    <mergeCell ref="B36:B37"/>
    <mergeCell ref="AH36:AH37"/>
    <mergeCell ref="AI36:AI37"/>
    <mergeCell ref="AJ36:AJ37"/>
    <mergeCell ref="AK36:AK37"/>
  </mergeCells>
  <conditionalFormatting sqref="C17:AG17 C21:AG21 C23:AF23 C25:AG25 C27:AG27 C31:AG31 C33:AF33 C35:AG35 C37:AG37 C39:AG39 C29:AG29 C19:AG19">
    <cfRule type="expression" dxfId="43" priority="150">
      <formula>C17=Código1</formula>
    </cfRule>
  </conditionalFormatting>
  <conditionalFormatting sqref="C17:AG17 C21:AG21 C23:AF23 C25:AG25 C27:AG27 C31:AG31 C33:AF33 C35:AG35 C37:AG37 C39:AG39 C29:AG29 C19:AG19">
    <cfRule type="expression" dxfId="42" priority="162">
      <formula>C17=Código2</formula>
    </cfRule>
  </conditionalFormatting>
  <conditionalFormatting sqref="C17:AG17 C21:AG21 C23:AF23 C25:AG25 C27:AG27 C31:AG31 C33:AF33 C35:AG35 C37:AG37 C39:AG39 C29:AG29 C19:AG19">
    <cfRule type="expression" dxfId="41" priority="174">
      <formula>C17=Código3</formula>
    </cfRule>
  </conditionalFormatting>
  <conditionalFormatting sqref="C17:AG17 C21:AG21 C23:AF23 C25:AG25 C27:AG27 C31:AG31 C33:AF33 C35:AG35 C37:AG37 C39:AG39 C29:AG29 C19:AG19">
    <cfRule type="expression" dxfId="40" priority="186">
      <formula>C17=Código4</formula>
    </cfRule>
  </conditionalFormatting>
  <conditionalFormatting sqref="C17:AG17 C21:AG21 C23:AF23 C25:AG25 C27:AG27 C31:AG31 C33:AF33 C35:AG35 C37:AG37 C39:AG39 C29:AG29 C19:AG19">
    <cfRule type="expression" dxfId="39" priority="199">
      <formula>C17=Código5</formula>
    </cfRule>
  </conditionalFormatting>
  <conditionalFormatting sqref="AE28">
    <cfRule type="expression" dxfId="38" priority="200">
      <formula>DATE(CalendárioAnual+1,2,AE28)&gt;EOMONTH(DATE(CalendárioAnual+1,1,1),1)</formula>
    </cfRule>
  </conditionalFormatting>
  <dataValidations count="2">
    <dataValidation type="list" errorStyle="warning" allowBlank="1" showInputMessage="1" showErrorMessage="1" errorTitle="Ups!" sqref="B4:C4" xr:uid="{00000000-0002-0000-0E00-000000000000}">
      <formula1>IDDeAluno</formula1>
    </dataValidation>
    <dataValidation allowBlank="1" showInputMessage="1" showErrorMessage="1" errorTitle="Nome de Estudante Desconhecido" error="Selecione um estudante da lista. Pode adicionar ou removes nomes desta lista na folha de cálculo da Lista de Estudantes." sqref="D4" xr:uid="{00000000-0002-0000-0E00-000001000000}"/>
  </dataValidations>
  <printOptions horizontalCentered="1"/>
  <pageMargins left="0.25" right="0.25" top="0.75" bottom="0.75" header="0.3" footer="0.3"/>
  <pageSetup paperSize="9"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7"/>
  </sheetPr>
  <dimension ref="A1:S245"/>
  <sheetViews>
    <sheetView showGridLines="0" zoomScaleNormal="100" workbookViewId="0">
      <pane xSplit="2" ySplit="3" topLeftCell="C4" activePane="bottomRight" state="frozen"/>
      <selection pane="topRight" activeCell="C1" sqref="C1"/>
      <selection pane="bottomLeft" activeCell="A4" sqref="A4"/>
      <selection pane="bottomRight" activeCell="D9" sqref="D9"/>
    </sheetView>
  </sheetViews>
  <sheetFormatPr defaultRowHeight="13.5" x14ac:dyDescent="0.25"/>
  <cols>
    <col min="1" max="1" width="2.7109375" customWidth="1"/>
    <col min="2" max="2" width="14.42578125" customWidth="1"/>
    <col min="3" max="3" width="41.28515625" bestFit="1" customWidth="1"/>
    <col min="4" max="4" width="15.42578125" customWidth="1"/>
    <col min="5" max="5" width="12.7109375" customWidth="1"/>
    <col min="6" max="6" width="22.7109375" customWidth="1"/>
    <col min="7" max="7" width="16" customWidth="1"/>
    <col min="8" max="10" width="20.5703125" customWidth="1"/>
    <col min="11" max="11" width="18.42578125" customWidth="1"/>
    <col min="12" max="13" width="20.5703125" customWidth="1"/>
    <col min="14" max="14" width="22.42578125" customWidth="1"/>
    <col min="15" max="17" width="20.5703125" customWidth="1"/>
    <col min="18" max="19" width="22.140625" customWidth="1"/>
  </cols>
  <sheetData>
    <row r="1" spans="1:19" ht="42" customHeight="1" x14ac:dyDescent="0.3">
      <c r="A1" s="83" t="s">
        <v>114</v>
      </c>
      <c r="B1" s="80"/>
      <c r="C1" s="80"/>
      <c r="D1" s="80"/>
      <c r="E1" s="80"/>
      <c r="F1" s="80"/>
      <c r="G1" s="80"/>
      <c r="H1" s="80"/>
      <c r="I1" s="80"/>
      <c r="J1" s="80"/>
      <c r="K1" s="80"/>
      <c r="L1" s="80"/>
      <c r="M1" s="80"/>
      <c r="N1" s="80"/>
      <c r="O1" s="80"/>
      <c r="P1" s="80"/>
      <c r="Q1" s="80"/>
      <c r="R1" s="80"/>
      <c r="S1" s="44"/>
    </row>
    <row r="3" spans="1:19" s="14" customFormat="1" ht="42" customHeight="1" x14ac:dyDescent="0.25">
      <c r="B3" s="81" t="s">
        <v>34</v>
      </c>
      <c r="C3" s="82" t="s">
        <v>32</v>
      </c>
      <c r="D3" s="82" t="s">
        <v>33</v>
      </c>
      <c r="E3" s="81" t="s">
        <v>41</v>
      </c>
      <c r="F3" s="81" t="s">
        <v>42</v>
      </c>
      <c r="G3" s="82" t="s">
        <v>73</v>
      </c>
      <c r="H3" s="81" t="s">
        <v>74</v>
      </c>
      <c r="I3" s="81" t="s">
        <v>111</v>
      </c>
      <c r="J3" s="81" t="s">
        <v>75</v>
      </c>
      <c r="K3" s="81" t="s">
        <v>79</v>
      </c>
      <c r="L3" s="81" t="s">
        <v>76</v>
      </c>
      <c r="M3" s="81" t="s">
        <v>77</v>
      </c>
      <c r="N3" s="81" t="s">
        <v>78</v>
      </c>
      <c r="O3" s="82" t="s">
        <v>50</v>
      </c>
      <c r="P3" s="81" t="s">
        <v>52</v>
      </c>
      <c r="Q3" s="81" t="s">
        <v>53</v>
      </c>
      <c r="R3" s="81" t="s">
        <v>54</v>
      </c>
      <c r="S3" s="82" t="s">
        <v>55</v>
      </c>
    </row>
    <row r="4" spans="1:19" ht="15.75" customHeight="1" x14ac:dyDescent="0.25">
      <c r="B4">
        <v>1</v>
      </c>
      <c r="C4" t="s">
        <v>125</v>
      </c>
      <c r="D4" s="13" t="s">
        <v>89</v>
      </c>
      <c r="E4" s="15" t="s">
        <v>51</v>
      </c>
      <c r="F4" s="16">
        <v>35517</v>
      </c>
      <c r="G4" s="13" t="s">
        <v>90</v>
      </c>
      <c r="H4" s="13" t="s">
        <v>89</v>
      </c>
      <c r="I4" s="18">
        <v>1235550134</v>
      </c>
      <c r="J4" s="18">
        <v>2345550134</v>
      </c>
      <c r="K4" s="17" t="s">
        <v>91</v>
      </c>
      <c r="L4" s="17" t="s">
        <v>72</v>
      </c>
      <c r="M4" s="18">
        <v>1235550134</v>
      </c>
      <c r="N4" s="18">
        <v>2345550134</v>
      </c>
      <c r="O4" s="13" t="s">
        <v>94</v>
      </c>
      <c r="P4" s="13" t="s">
        <v>56</v>
      </c>
      <c r="Q4" s="18">
        <v>7895550189</v>
      </c>
      <c r="R4" s="18">
        <v>7895550134</v>
      </c>
      <c r="S4" t="str">
        <f>ListaDeAlunos[[#This Row],[Nome do Estudante]]&amp;" " &amp;ListaDeAlunos[[#This Row],[Apelido do Estudante]]</f>
        <v>Alexandre António Magão Pontes Neves</v>
      </c>
    </row>
    <row r="5" spans="1:19" ht="15.75" customHeight="1" x14ac:dyDescent="0.25">
      <c r="B5">
        <v>2</v>
      </c>
      <c r="C5" t="s">
        <v>126</v>
      </c>
      <c r="D5" s="13">
        <v>2</v>
      </c>
      <c r="E5" s="15"/>
      <c r="F5" s="16"/>
      <c r="G5" s="13"/>
      <c r="H5" s="13"/>
      <c r="I5" s="18"/>
      <c r="J5" s="18"/>
      <c r="K5" s="17"/>
      <c r="L5" s="17"/>
      <c r="M5" s="18"/>
      <c r="N5" s="18"/>
      <c r="O5" s="13"/>
      <c r="P5" s="13"/>
      <c r="Q5" s="18"/>
      <c r="R5" s="18"/>
      <c r="S5" t="str">
        <f>ListaDeAlunos[[#This Row],[Nome do Estudante]]&amp;" " &amp;ListaDeAlunos[[#This Row],[Apelido do Estudante]]</f>
        <v>André Flipe Carvalho de Faria 2</v>
      </c>
    </row>
    <row r="6" spans="1:19" ht="15.75" customHeight="1" x14ac:dyDescent="0.25">
      <c r="B6">
        <v>3</v>
      </c>
      <c r="C6" t="s">
        <v>127</v>
      </c>
      <c r="D6" s="13">
        <v>3</v>
      </c>
      <c r="E6" s="15"/>
      <c r="F6" s="16"/>
      <c r="G6" s="13"/>
      <c r="H6" s="13"/>
      <c r="I6" s="18"/>
      <c r="J6" s="18"/>
      <c r="K6" s="17"/>
      <c r="L6" s="17"/>
      <c r="M6" s="18"/>
      <c r="N6" s="18"/>
      <c r="O6" s="13"/>
      <c r="P6" s="13"/>
      <c r="Q6" s="18"/>
      <c r="R6" s="18"/>
      <c r="S6" t="str">
        <f>ListaDeAlunos[[#This Row],[Nome do Estudante]]&amp;" " &amp;ListaDeAlunos[[#This Row],[Apelido do Estudante]]</f>
        <v>André Martins Fernandes da Silva 3</v>
      </c>
    </row>
    <row r="7" spans="1:19" ht="15.75" customHeight="1" x14ac:dyDescent="0.25">
      <c r="B7">
        <v>4</v>
      </c>
      <c r="C7" t="s">
        <v>128</v>
      </c>
      <c r="D7" s="13">
        <v>4</v>
      </c>
      <c r="E7" s="15"/>
      <c r="F7" s="16"/>
      <c r="G7" s="13"/>
      <c r="H7" s="13"/>
      <c r="I7" s="18"/>
      <c r="J7" s="18"/>
      <c r="K7" s="17"/>
      <c r="L7" s="17"/>
      <c r="M7" s="18"/>
      <c r="N7" s="18"/>
      <c r="O7" s="13"/>
      <c r="P7" s="13"/>
      <c r="Q7" s="18"/>
      <c r="R7" s="18"/>
      <c r="S7" t="str">
        <f>ListaDeAlunos[[#This Row],[Nome do Estudante]]&amp;" " &amp;ListaDeAlunos[[#This Row],[Apelido do Estudante]]</f>
        <v>Angélica da Luz Barreto Torres 4</v>
      </c>
    </row>
    <row r="8" spans="1:19" ht="15.75" customHeight="1" x14ac:dyDescent="0.25">
      <c r="B8">
        <v>5</v>
      </c>
      <c r="C8" t="s">
        <v>129</v>
      </c>
      <c r="D8" s="13">
        <v>5</v>
      </c>
      <c r="E8" s="15"/>
      <c r="F8" s="16"/>
      <c r="G8" s="13"/>
      <c r="H8" s="13"/>
      <c r="I8" s="18"/>
      <c r="J8" s="18"/>
      <c r="K8" s="17"/>
      <c r="L8" s="17"/>
      <c r="M8" s="18"/>
      <c r="N8" s="18"/>
      <c r="O8" s="13"/>
      <c r="P8" s="13"/>
      <c r="Q8" s="18"/>
      <c r="R8" s="18"/>
      <c r="S8" t="str">
        <f>ListaDeAlunos[[#This Row],[Nome do Estudante]]&amp;" " &amp;ListaDeAlunos[[#This Row],[Apelido do Estudante]]</f>
        <v>Fernando Augusto G. de Carvalho Moreira 5</v>
      </c>
    </row>
    <row r="9" spans="1:19" ht="15.75" customHeight="1" x14ac:dyDescent="0.25">
      <c r="B9">
        <v>7</v>
      </c>
      <c r="C9" t="s">
        <v>130</v>
      </c>
      <c r="D9" s="13"/>
      <c r="E9" s="15"/>
      <c r="F9" s="16"/>
      <c r="G9" s="13"/>
      <c r="H9" s="13"/>
      <c r="I9" s="18"/>
      <c r="J9" s="18"/>
      <c r="K9" s="17"/>
      <c r="L9" s="17"/>
      <c r="M9" s="18"/>
      <c r="N9" s="18"/>
      <c r="O9" s="13"/>
      <c r="P9" s="13"/>
      <c r="Q9" s="18"/>
      <c r="R9" s="18"/>
      <c r="S9" s="13"/>
    </row>
    <row r="10" spans="1:19" ht="15.75" customHeight="1" x14ac:dyDescent="0.25">
      <c r="B10">
        <v>8</v>
      </c>
      <c r="C10" t="s">
        <v>131</v>
      </c>
      <c r="D10" s="13"/>
      <c r="E10" s="15"/>
      <c r="F10" s="16"/>
      <c r="G10" s="13"/>
      <c r="H10" s="13"/>
      <c r="I10" s="18"/>
      <c r="J10" s="18"/>
      <c r="K10" s="17"/>
      <c r="L10" s="17"/>
      <c r="M10" s="18"/>
      <c r="N10" s="18"/>
      <c r="O10" s="13"/>
      <c r="P10" s="13"/>
      <c r="Q10" s="18"/>
      <c r="R10" s="18"/>
      <c r="S10" s="13"/>
    </row>
    <row r="11" spans="1:19" ht="15.75" customHeight="1" x14ac:dyDescent="0.25">
      <c r="B11">
        <v>10</v>
      </c>
      <c r="C11" t="s">
        <v>132</v>
      </c>
      <c r="D11" s="13"/>
      <c r="E11" s="15"/>
      <c r="F11" s="16"/>
      <c r="G11" s="13"/>
      <c r="H11" s="13"/>
      <c r="I11" s="18"/>
      <c r="J11" s="18"/>
      <c r="K11" s="17"/>
      <c r="L11" s="17"/>
      <c r="M11" s="18"/>
      <c r="N11" s="18"/>
      <c r="O11" s="13"/>
      <c r="P11" s="13"/>
      <c r="Q11" s="18"/>
      <c r="R11" s="18"/>
      <c r="S11" s="13"/>
    </row>
    <row r="12" spans="1:19" ht="15.75" customHeight="1" x14ac:dyDescent="0.25">
      <c r="B12">
        <v>12</v>
      </c>
      <c r="C12" t="s">
        <v>133</v>
      </c>
      <c r="D12" s="13"/>
      <c r="E12" s="15"/>
      <c r="F12" s="16"/>
      <c r="G12" s="13"/>
      <c r="H12" s="13"/>
      <c r="I12" s="18"/>
      <c r="J12" s="18"/>
      <c r="K12" s="17"/>
      <c r="L12" s="17"/>
      <c r="M12" s="18"/>
      <c r="N12" s="18"/>
      <c r="O12" s="13"/>
      <c r="P12" s="13"/>
      <c r="Q12" s="18"/>
      <c r="R12" s="18"/>
      <c r="S12" s="13"/>
    </row>
    <row r="13" spans="1:19" ht="15.75" customHeight="1" x14ac:dyDescent="0.25">
      <c r="B13">
        <v>13</v>
      </c>
      <c r="C13" t="s">
        <v>134</v>
      </c>
      <c r="D13" s="13"/>
      <c r="E13" s="15"/>
      <c r="F13" s="16"/>
      <c r="G13" s="13"/>
      <c r="H13" s="13"/>
      <c r="I13" s="18"/>
      <c r="J13" s="18"/>
      <c r="K13" s="17"/>
      <c r="L13" s="17"/>
      <c r="M13" s="18"/>
      <c r="N13" s="18"/>
      <c r="O13" s="13"/>
      <c r="P13" s="13"/>
      <c r="Q13" s="18"/>
      <c r="R13" s="18"/>
      <c r="S13" s="13"/>
    </row>
    <row r="14" spans="1:19" ht="15.75" customHeight="1" x14ac:dyDescent="0.25">
      <c r="B14">
        <v>16</v>
      </c>
      <c r="C14" t="s">
        <v>135</v>
      </c>
      <c r="D14" s="13"/>
      <c r="E14" s="15"/>
      <c r="F14" s="16"/>
      <c r="G14" s="13"/>
      <c r="H14" s="13"/>
      <c r="I14" s="18"/>
      <c r="J14" s="18"/>
      <c r="K14" s="17"/>
      <c r="L14" s="17"/>
      <c r="M14" s="18"/>
      <c r="N14" s="18"/>
      <c r="O14" s="13"/>
      <c r="P14" s="13"/>
      <c r="Q14" s="18"/>
      <c r="R14" s="18"/>
      <c r="S14" s="13"/>
    </row>
    <row r="15" spans="1:19" ht="15.75" customHeight="1" x14ac:dyDescent="0.25">
      <c r="B15">
        <v>17</v>
      </c>
      <c r="C15" t="s">
        <v>136</v>
      </c>
      <c r="D15" s="13"/>
      <c r="E15" s="15"/>
      <c r="F15" s="16"/>
      <c r="G15" s="13"/>
      <c r="H15" s="13"/>
      <c r="I15" s="18"/>
      <c r="J15" s="18"/>
      <c r="K15" s="17"/>
      <c r="L15" s="17"/>
      <c r="M15" s="18"/>
      <c r="N15" s="18"/>
      <c r="O15" s="13"/>
      <c r="P15" s="13"/>
      <c r="Q15" s="18"/>
      <c r="R15" s="18"/>
      <c r="S15" s="13"/>
    </row>
    <row r="16" spans="1:19"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sheetData>
  <pageMargins left="0.25" right="0.25" top="0.75" bottom="0.75" header="0.3" footer="0.3"/>
  <pageSetup paperSize="9" scale="85" fitToWidth="0" fitToHeight="0" orientation="landscape"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pageSetUpPr fitToPage="1"/>
  </sheetPr>
  <dimension ref="A1:AN346"/>
  <sheetViews>
    <sheetView showGridLines="0" zoomScaleNormal="100" workbookViewId="0">
      <pane xSplit="3" ySplit="6" topLeftCell="D7" activePane="bottomRight" state="frozen"/>
      <selection pane="topRight"/>
      <selection pane="bottomLeft"/>
      <selection pane="bottomRight" activeCell="E3" sqref="E3"/>
    </sheetView>
  </sheetViews>
  <sheetFormatPr defaultRowHeight="15" customHeight="1" x14ac:dyDescent="0.25"/>
  <cols>
    <col min="1" max="1" width="2.7109375" style="11" customWidth="1"/>
    <col min="2" max="2" width="15.7109375" style="11" bestFit="1" customWidth="1"/>
    <col min="3" max="3" width="41.28515625" style="12" bestFit="1" customWidth="1"/>
    <col min="4" max="34" width="5" style="10" customWidth="1"/>
    <col min="35" max="35" width="4.7109375" style="9" customWidth="1"/>
    <col min="36" max="36" width="4.7109375" style="10" customWidth="1"/>
    <col min="37" max="38" width="4.7109375" style="11" customWidth="1"/>
    <col min="39" max="39" width="16.85546875" style="11" bestFit="1" customWidth="1"/>
    <col min="40" max="16384" width="9.140625" style="11"/>
  </cols>
  <sheetData>
    <row r="1" spans="1:40" s="1" customFormat="1" ht="42" customHeight="1" x14ac:dyDescent="0.25">
      <c r="A1" s="38" t="s">
        <v>88</v>
      </c>
      <c r="B1" s="39"/>
      <c r="C1" s="39"/>
      <c r="D1" s="40"/>
      <c r="E1" s="40"/>
      <c r="F1" s="40"/>
      <c r="G1" s="40"/>
      <c r="H1" s="40"/>
      <c r="I1" s="40"/>
      <c r="J1" s="40"/>
      <c r="K1" s="40"/>
      <c r="L1" s="40"/>
      <c r="M1" s="40"/>
      <c r="N1" s="40"/>
      <c r="O1" s="40"/>
      <c r="P1" s="40"/>
      <c r="Q1" s="40"/>
      <c r="R1" s="40"/>
      <c r="S1" s="40"/>
      <c r="T1" s="40"/>
      <c r="U1" s="40"/>
      <c r="V1" s="40"/>
      <c r="W1" s="40"/>
      <c r="X1" s="40"/>
      <c r="Y1" s="40"/>
      <c r="Z1" s="40"/>
      <c r="AA1" s="40"/>
      <c r="AB1" s="40"/>
      <c r="AC1" s="39"/>
      <c r="AD1" s="39"/>
      <c r="AE1" s="39"/>
      <c r="AF1" s="39"/>
      <c r="AG1" s="41"/>
      <c r="AH1" s="39"/>
      <c r="AI1" s="39"/>
      <c r="AJ1" s="42"/>
      <c r="AK1" s="39"/>
      <c r="AL1" s="55" t="s">
        <v>71</v>
      </c>
      <c r="AM1" s="56"/>
    </row>
    <row r="2" spans="1:40" customFormat="1" ht="13.5" x14ac:dyDescent="0.25"/>
    <row r="3" spans="1:40" s="30" customFormat="1" ht="12.75" customHeight="1" x14ac:dyDescent="0.25">
      <c r="C3" s="45" t="str">
        <f>TextoColorKey</f>
        <v xml:space="preserve">CHAVE DE CORES </v>
      </c>
      <c r="D3" s="49" t="str">
        <f>Código1</f>
        <v>T</v>
      </c>
      <c r="E3" s="64" t="str">
        <f>Código1Texto</f>
        <v>Atrasado</v>
      </c>
      <c r="F3" s="54"/>
      <c r="H3" s="50" t="str">
        <f>Código2</f>
        <v>E</v>
      </c>
      <c r="I3" s="54" t="str">
        <f>Código2Texto</f>
        <v>Justificado</v>
      </c>
      <c r="L3" s="51" t="str">
        <f>Código3</f>
        <v>U</v>
      </c>
      <c r="M3" s="54" t="str">
        <f>Código3Texto</f>
        <v>Não justificado</v>
      </c>
      <c r="P3" s="52" t="str">
        <f>Código4</f>
        <v>P</v>
      </c>
      <c r="Q3" s="54" t="str">
        <f>Código4Texto</f>
        <v>Presente</v>
      </c>
      <c r="T3" s="53" t="str">
        <f>Código5</f>
        <v>N</v>
      </c>
      <c r="U3" s="54" t="str">
        <f>Código5Texto</f>
        <v>Não há Escola</v>
      </c>
      <c r="W3"/>
      <c r="X3"/>
      <c r="Y3"/>
      <c r="AD3" s="29"/>
      <c r="AE3" s="29"/>
      <c r="AH3" s="31"/>
      <c r="AI3" s="32"/>
      <c r="AK3" s="33"/>
    </row>
    <row r="4" spans="1:40" customFormat="1" ht="16.5" customHeight="1" x14ac:dyDescent="0.25"/>
    <row r="5" spans="1:40" s="2" customFormat="1" ht="18" customHeight="1" x14ac:dyDescent="0.3">
      <c r="B5" s="58">
        <f>DATE(CalendárioAnual,12,1)</f>
        <v>43435</v>
      </c>
      <c r="C5" s="57"/>
      <c r="D5" s="43" t="str">
        <f>TEXT(WEEKDAY(DATE(CalendárioAnual,12,1),1),"ddd")</f>
        <v>sáb</v>
      </c>
      <c r="E5" s="43" t="str">
        <f>TEXT(WEEKDAY(DATE(CalendárioAnual,12,2),1),"ddd")</f>
        <v>dom</v>
      </c>
      <c r="F5" s="43" t="str">
        <f>TEXT(WEEKDAY(DATE(CalendárioAnual,12,3),1),"ddd")</f>
        <v>seg</v>
      </c>
      <c r="G5" s="43" t="str">
        <f>TEXT(WEEKDAY(DATE(CalendárioAnual,12,4),1),"ddd")</f>
        <v>ter</v>
      </c>
      <c r="H5" s="43" t="str">
        <f>TEXT(WEEKDAY(DATE(CalendárioAnual,12,5),1),"ddd")</f>
        <v>qua</v>
      </c>
      <c r="I5" s="43" t="str">
        <f>TEXT(WEEKDAY(DATE(CalendárioAnual,12,6),1),"ddd")</f>
        <v>qui</v>
      </c>
      <c r="J5" s="43" t="str">
        <f>TEXT(WEEKDAY(DATE(CalendárioAnual,12,7),1),"ddd")</f>
        <v>sex</v>
      </c>
      <c r="K5" s="43" t="str">
        <f>TEXT(WEEKDAY(DATE(CalendárioAnual,12,8),1),"ddd")</f>
        <v>sáb</v>
      </c>
      <c r="L5" s="43" t="str">
        <f>TEXT(WEEKDAY(DATE(CalendárioAnual,12,9),1),"ddd")</f>
        <v>dom</v>
      </c>
      <c r="M5" s="43" t="str">
        <f>TEXT(WEEKDAY(DATE(CalendárioAnual,12,10),1),"ddd")</f>
        <v>seg</v>
      </c>
      <c r="N5" s="43" t="str">
        <f>TEXT(WEEKDAY(DATE(CalendárioAnual,12,11),1),"ddd")</f>
        <v>ter</v>
      </c>
      <c r="O5" s="43" t="str">
        <f>TEXT(WEEKDAY(DATE(CalendárioAnual,12,12),1),"ddd")</f>
        <v>qua</v>
      </c>
      <c r="P5" s="43" t="str">
        <f>TEXT(WEEKDAY(DATE(CalendárioAnual,12,13),1),"ddd")</f>
        <v>qui</v>
      </c>
      <c r="Q5" s="43" t="str">
        <f>TEXT(WEEKDAY(DATE(CalendárioAnual,12,14),1),"ddd")</f>
        <v>sex</v>
      </c>
      <c r="R5" s="43" t="str">
        <f>TEXT(WEEKDAY(DATE(CalendárioAnual,12,15),1),"ddd")</f>
        <v>sáb</v>
      </c>
      <c r="S5" s="43" t="str">
        <f>TEXT(WEEKDAY(DATE(CalendárioAnual,12,16),1),"ddd")</f>
        <v>dom</v>
      </c>
      <c r="T5" s="43" t="str">
        <f>TEXT(WEEKDAY(DATE(CalendárioAnual,12,17),1),"ddd")</f>
        <v>seg</v>
      </c>
      <c r="U5" s="43" t="str">
        <f>TEXT(WEEKDAY(DATE(CalendárioAnual,12,18),1),"ddd")</f>
        <v>ter</v>
      </c>
      <c r="V5" s="43" t="str">
        <f>TEXT(WEEKDAY(DATE(CalendárioAnual,12,19),1),"ddd")</f>
        <v>qua</v>
      </c>
      <c r="W5" s="43" t="str">
        <f>TEXT(WEEKDAY(DATE(CalendárioAnual,12,20),1),"ddd")</f>
        <v>qui</v>
      </c>
      <c r="X5" s="43" t="str">
        <f>TEXT(WEEKDAY(DATE(CalendárioAnual,12,21),1),"ddd")</f>
        <v>sex</v>
      </c>
      <c r="Y5" s="43" t="str">
        <f>TEXT(WEEKDAY(DATE(CalendárioAnual,12,22),1),"ddd")</f>
        <v>sáb</v>
      </c>
      <c r="Z5" s="43" t="str">
        <f>TEXT(WEEKDAY(DATE(CalendárioAnual,12,23),1),"ddd")</f>
        <v>dom</v>
      </c>
      <c r="AA5" s="43" t="str">
        <f>TEXT(WEEKDAY(DATE(CalendárioAnual,12,24),1),"ddd")</f>
        <v>seg</v>
      </c>
      <c r="AB5" s="43" t="str">
        <f>TEXT(WEEKDAY(DATE(CalendárioAnual,12,25),1),"ddd")</f>
        <v>ter</v>
      </c>
      <c r="AC5" s="43" t="str">
        <f>TEXT(WEEKDAY(DATE(CalendárioAnual,12,26),1),"ddd")</f>
        <v>qua</v>
      </c>
      <c r="AD5" s="43" t="str">
        <f>TEXT(WEEKDAY(DATE(CalendárioAnual,12,27),1),"ddd")</f>
        <v>qui</v>
      </c>
      <c r="AE5" s="43" t="str">
        <f>TEXT(WEEKDAY(DATE(CalendárioAnual,12,28),1),"ddd")</f>
        <v>sex</v>
      </c>
      <c r="AF5" s="43" t="str">
        <f>TEXT(WEEKDAY(DATE(CalendárioAnual,12,29),1),"ddd")</f>
        <v>sáb</v>
      </c>
      <c r="AG5" s="43" t="str">
        <f>TEXT(WEEKDAY(DATE(CalendárioAnual,12,30),1),"ddd")</f>
        <v>dom</v>
      </c>
      <c r="AH5" s="43" t="str">
        <f>TEXT(WEEKDAY(DATE(CalendárioAnual,12,31),1),"ddd")</f>
        <v>seg</v>
      </c>
      <c r="AI5" s="116" t="s">
        <v>40</v>
      </c>
      <c r="AJ5" s="117"/>
      <c r="AK5" s="117"/>
      <c r="AL5" s="117"/>
      <c r="AM5" s="118"/>
    </row>
    <row r="6" spans="1:40" s="6" customFormat="1" ht="14.25" customHeight="1" x14ac:dyDescent="0.25">
      <c r="B6" s="29" t="s">
        <v>34</v>
      </c>
      <c r="C6" s="46" t="s">
        <v>35</v>
      </c>
      <c r="D6" s="3" t="s">
        <v>0</v>
      </c>
      <c r="E6" s="3" t="s">
        <v>1</v>
      </c>
      <c r="F6" s="3" t="s">
        <v>2</v>
      </c>
      <c r="G6" s="3" t="s">
        <v>3</v>
      </c>
      <c r="H6" s="3" t="s">
        <v>4</v>
      </c>
      <c r="I6" s="3" t="s">
        <v>5</v>
      </c>
      <c r="J6" s="3" t="s">
        <v>6</v>
      </c>
      <c r="K6" s="3" t="s">
        <v>7</v>
      </c>
      <c r="L6" s="3" t="s">
        <v>8</v>
      </c>
      <c r="M6" s="3" t="s">
        <v>9</v>
      </c>
      <c r="N6" s="3" t="s">
        <v>10</v>
      </c>
      <c r="O6" s="3" t="s">
        <v>11</v>
      </c>
      <c r="P6" s="3" t="s">
        <v>12</v>
      </c>
      <c r="Q6" s="3" t="s">
        <v>13</v>
      </c>
      <c r="R6" s="3" t="s">
        <v>14</v>
      </c>
      <c r="S6" s="3" t="s">
        <v>15</v>
      </c>
      <c r="T6" s="3" t="s">
        <v>16</v>
      </c>
      <c r="U6" s="3" t="s">
        <v>17</v>
      </c>
      <c r="V6" s="3" t="s">
        <v>18</v>
      </c>
      <c r="W6" s="3" t="s">
        <v>19</v>
      </c>
      <c r="X6" s="3" t="s">
        <v>20</v>
      </c>
      <c r="Y6" s="3" t="s">
        <v>21</v>
      </c>
      <c r="Z6" s="3" t="s">
        <v>22</v>
      </c>
      <c r="AA6" s="3" t="s">
        <v>23</v>
      </c>
      <c r="AB6" s="3" t="s">
        <v>24</v>
      </c>
      <c r="AC6" s="3" t="s">
        <v>25</v>
      </c>
      <c r="AD6" s="3" t="s">
        <v>26</v>
      </c>
      <c r="AE6" s="3" t="s">
        <v>27</v>
      </c>
      <c r="AF6" s="3" t="s">
        <v>28</v>
      </c>
      <c r="AG6" s="3" t="s">
        <v>29</v>
      </c>
      <c r="AH6" s="3" t="s">
        <v>30</v>
      </c>
      <c r="AI6" s="88" t="s">
        <v>36</v>
      </c>
      <c r="AJ6" s="65" t="s">
        <v>38</v>
      </c>
      <c r="AK6" s="66" t="s">
        <v>37</v>
      </c>
      <c r="AL6" s="67" t="s">
        <v>31</v>
      </c>
      <c r="AM6" s="48" t="s">
        <v>39</v>
      </c>
      <c r="AN6" s="5"/>
    </row>
    <row r="7" spans="1:40" s="6" customFormat="1" ht="16.5" customHeight="1" x14ac:dyDescent="0.25">
      <c r="B7" s="25">
        <v>1</v>
      </c>
      <c r="C7" t="s">
        <v>125</v>
      </c>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4"/>
      <c r="AG7" s="22"/>
      <c r="AH7" s="22"/>
      <c r="AI7" s="7">
        <f>COUNTIF(PresençasEmDezembro[[#This Row],[1]:[31]],Código1)</f>
        <v>0</v>
      </c>
      <c r="AJ7" s="35">
        <f>COUNTIF(PresençasEmDezembro[[#This Row],[1]:[31]],Código2)</f>
        <v>0</v>
      </c>
      <c r="AK7" s="35">
        <f>COUNTIF(PresençasEmDezembro[[#This Row],[1]:[31]],Código3)</f>
        <v>0</v>
      </c>
      <c r="AL7" s="35">
        <f>COUNTIF(PresençasEmDezembro[[#This Row],[1]:[31]],Código4)</f>
        <v>0</v>
      </c>
      <c r="AM7" s="7">
        <f>SUM(PresençasEmDezembro[[#This Row],[E]:[U]])</f>
        <v>0</v>
      </c>
      <c r="AN7" s="5"/>
    </row>
    <row r="8" spans="1:40" s="6" customFormat="1" ht="16.5" customHeight="1" x14ac:dyDescent="0.25">
      <c r="B8" s="25">
        <v>2</v>
      </c>
      <c r="C8" t="s">
        <v>126</v>
      </c>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4"/>
      <c r="AG8" s="22"/>
      <c r="AH8" s="22"/>
      <c r="AI8" s="7">
        <f>COUNTIF(PresençasEmDezembro[[#This Row],[1]:[31]],Código1)</f>
        <v>0</v>
      </c>
      <c r="AJ8" s="35">
        <f>COUNTIF(PresençasEmDezembro[[#This Row],[1]:[31]],Código2)</f>
        <v>0</v>
      </c>
      <c r="AK8" s="35">
        <f>COUNTIF(PresençasEmDezembro[[#This Row],[1]:[31]],Código3)</f>
        <v>0</v>
      </c>
      <c r="AL8" s="35">
        <f>COUNTIF(PresençasEmDezembro[[#This Row],[1]:[31]],Código4)</f>
        <v>0</v>
      </c>
      <c r="AM8" s="7">
        <f>SUM(PresençasEmDezembro[[#This Row],[E]:[U]])</f>
        <v>0</v>
      </c>
      <c r="AN8" s="5"/>
    </row>
    <row r="9" spans="1:40" s="1" customFormat="1" ht="16.5" customHeight="1" x14ac:dyDescent="0.25">
      <c r="B9" s="25">
        <v>3</v>
      </c>
      <c r="C9" t="s">
        <v>127</v>
      </c>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4"/>
      <c r="AG9" s="22"/>
      <c r="AH9" s="22"/>
      <c r="AI9" s="7">
        <f>COUNTIF(PresençasEmDezembro[[#This Row],[1]:[31]],Código1)</f>
        <v>0</v>
      </c>
      <c r="AJ9" s="35">
        <f>COUNTIF(PresençasEmDezembro[[#This Row],[1]:[31]],Código2)</f>
        <v>0</v>
      </c>
      <c r="AK9" s="35">
        <f>COUNTIF(PresençasEmDezembro[[#This Row],[1]:[31]],Código3)</f>
        <v>0</v>
      </c>
      <c r="AL9" s="35">
        <f>COUNTIF(PresençasEmDezembro[[#This Row],[1]:[31]],Código4)</f>
        <v>0</v>
      </c>
      <c r="AM9" s="7">
        <f>SUM(PresençasEmDezembro[[#This Row],[E]:[U]])</f>
        <v>0</v>
      </c>
      <c r="AN9" s="8"/>
    </row>
    <row r="10" spans="1:40" ht="16.5" customHeight="1" x14ac:dyDescent="0.25">
      <c r="B10" s="25">
        <v>4</v>
      </c>
      <c r="C10" t="s">
        <v>128</v>
      </c>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4"/>
      <c r="AG10" s="22"/>
      <c r="AH10" s="22"/>
      <c r="AI10" s="7">
        <f>COUNTIF(PresençasEmDezembro[[#This Row],[1]:[31]],Código1)</f>
        <v>0</v>
      </c>
      <c r="AJ10" s="35">
        <f>COUNTIF(PresençasEmDezembro[[#This Row],[1]:[31]],Código2)</f>
        <v>0</v>
      </c>
      <c r="AK10" s="35">
        <f>COUNTIF(PresençasEmDezembro[[#This Row],[1]:[31]],Código3)</f>
        <v>0</v>
      </c>
      <c r="AL10" s="35">
        <f>COUNTIF(PresençasEmDezembro[[#This Row],[1]:[31]],Código4)</f>
        <v>0</v>
      </c>
      <c r="AM10" s="7">
        <f>SUM(PresençasEmDezembro[[#This Row],[E]:[U]])</f>
        <v>0</v>
      </c>
      <c r="AN10" s="10"/>
    </row>
    <row r="11" spans="1:40" ht="16.5" customHeight="1" x14ac:dyDescent="0.25">
      <c r="B11" s="25"/>
      <c r="C11" t="s">
        <v>129</v>
      </c>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4"/>
      <c r="AG11" s="22"/>
      <c r="AH11" s="22"/>
      <c r="AI11" s="7">
        <f>COUNTIF(PresençasEmDezembro[[#This Row],[1]:[31]],Código1)</f>
        <v>0</v>
      </c>
      <c r="AJ11" s="35">
        <f>COUNTIF(PresençasEmDezembro[[#This Row],[1]:[31]],Código2)</f>
        <v>0</v>
      </c>
      <c r="AK11" s="35">
        <f>COUNTIF(PresençasEmDezembro[[#This Row],[1]:[31]],Código3)</f>
        <v>0</v>
      </c>
      <c r="AL11" s="35">
        <f>COUNTIF(PresençasEmDezembro[[#This Row],[1]:[31]],Código4)</f>
        <v>0</v>
      </c>
      <c r="AM11" s="7">
        <f>SUM(PresençasEmDezembro[[#This Row],[E]:[U]])</f>
        <v>0</v>
      </c>
      <c r="AN11" s="10"/>
    </row>
    <row r="12" spans="1:40" ht="16.5" customHeight="1" x14ac:dyDescent="0.25">
      <c r="C12" t="s">
        <v>130</v>
      </c>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4"/>
      <c r="AI12" s="10">
        <f>COUNTIF(PresençasEmDezembro[[#This Row],[1]:[31]],Código1)</f>
        <v>0</v>
      </c>
      <c r="AJ12" s="111">
        <f>COUNTIF(PresençasEmDezembro[[#This Row],[1]:[31]],Código2)</f>
        <v>0</v>
      </c>
      <c r="AK12" s="111">
        <f>COUNTIF(PresençasEmDezembro[[#This Row],[1]:[31]],Código3)</f>
        <v>0</v>
      </c>
      <c r="AL12" s="111">
        <f>COUNTIF(PresençasEmDezembro[[#This Row],[1]:[31]],Código4)</f>
        <v>0</v>
      </c>
    </row>
    <row r="13" spans="1:40" ht="16.5" customHeight="1" x14ac:dyDescent="0.25">
      <c r="C13" t="s">
        <v>131</v>
      </c>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4"/>
      <c r="AI13" s="10">
        <f>COUNTIF(PresençasEmDezembro[[#This Row],[1]:[31]],Código1)</f>
        <v>0</v>
      </c>
      <c r="AJ13" s="111">
        <f>COUNTIF(PresençasEmDezembro[[#This Row],[1]:[31]],Código2)</f>
        <v>0</v>
      </c>
      <c r="AK13" s="111">
        <f>COUNTIF(PresençasEmDezembro[[#This Row],[1]:[31]],Código3)</f>
        <v>0</v>
      </c>
      <c r="AL13" s="111">
        <f>COUNTIF(PresençasEmDezembro[[#This Row],[1]:[31]],Código4)</f>
        <v>0</v>
      </c>
    </row>
    <row r="14" spans="1:40" ht="16.5" customHeight="1" x14ac:dyDescent="0.25">
      <c r="C14" t="s">
        <v>132</v>
      </c>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4"/>
      <c r="AI14" s="10">
        <f>COUNTIF(PresençasEmDezembro[[#This Row],[1]:[31]],Código1)</f>
        <v>0</v>
      </c>
      <c r="AJ14" s="111">
        <f>COUNTIF(PresençasEmDezembro[[#This Row],[1]:[31]],Código2)</f>
        <v>0</v>
      </c>
      <c r="AK14" s="111">
        <f>COUNTIF(PresençasEmDezembro[[#This Row],[1]:[31]],Código3)</f>
        <v>0</v>
      </c>
      <c r="AL14" s="111">
        <f>COUNTIF(PresençasEmDezembro[[#This Row],[1]:[31]],Código4)</f>
        <v>0</v>
      </c>
    </row>
    <row r="15" spans="1:40" ht="16.5" customHeight="1" x14ac:dyDescent="0.25">
      <c r="C15" t="s">
        <v>133</v>
      </c>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4"/>
      <c r="AI15" s="10">
        <f>COUNTIF(PresençasEmDezembro[[#This Row],[1]:[31]],Código1)</f>
        <v>0</v>
      </c>
      <c r="AJ15" s="111">
        <f>COUNTIF(PresençasEmDezembro[[#This Row],[1]:[31]],Código2)</f>
        <v>0</v>
      </c>
      <c r="AK15" s="111">
        <f>COUNTIF(PresençasEmDezembro[[#This Row],[1]:[31]],Código3)</f>
        <v>0</v>
      </c>
      <c r="AL15" s="111">
        <f>COUNTIF(PresençasEmDezembro[[#This Row],[1]:[31]],Código4)</f>
        <v>0</v>
      </c>
    </row>
    <row r="16" spans="1:40" ht="16.5" customHeight="1" x14ac:dyDescent="0.25">
      <c r="C16" t="s">
        <v>134</v>
      </c>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4"/>
      <c r="AI16" s="10">
        <f>COUNTIF(PresençasEmDezembro[[#This Row],[1]:[31]],Código1)</f>
        <v>0</v>
      </c>
      <c r="AJ16" s="111">
        <f>COUNTIF(PresençasEmDezembro[[#This Row],[1]:[31]],Código2)</f>
        <v>0</v>
      </c>
      <c r="AK16" s="111">
        <f>COUNTIF(PresençasEmDezembro[[#This Row],[1]:[31]],Código3)</f>
        <v>0</v>
      </c>
      <c r="AL16" s="111">
        <f>COUNTIF(PresençasEmDezembro[[#This Row],[1]:[31]],Código4)</f>
        <v>0</v>
      </c>
    </row>
    <row r="17" spans="2:39" ht="16.5" customHeight="1" x14ac:dyDescent="0.25">
      <c r="C17" t="s">
        <v>135</v>
      </c>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4"/>
      <c r="AI17" s="10">
        <f>COUNTIF(PresençasEmDezembro[[#This Row],[1]:[31]],Código1)</f>
        <v>0</v>
      </c>
      <c r="AJ17" s="111">
        <f>COUNTIF(PresençasEmDezembro[[#This Row],[1]:[31]],Código2)</f>
        <v>0</v>
      </c>
      <c r="AK17" s="111">
        <f>COUNTIF(PresençasEmDezembro[[#This Row],[1]:[31]],Código3)</f>
        <v>0</v>
      </c>
      <c r="AL17" s="111">
        <f>COUNTIF(PresençasEmDezembro[[#This Row],[1]:[31]],Código4)</f>
        <v>0</v>
      </c>
    </row>
    <row r="18" spans="2:39" ht="16.5" customHeight="1" x14ac:dyDescent="0.25">
      <c r="C18" t="s">
        <v>136</v>
      </c>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4"/>
      <c r="AI18" s="10">
        <f>COUNTIF(PresençasEmDezembro[[#This Row],[1]:[31]],Código1)</f>
        <v>0</v>
      </c>
      <c r="AJ18" s="111">
        <f>COUNTIF(PresençasEmDezembro[[#This Row],[1]:[31]],Código2)</f>
        <v>0</v>
      </c>
      <c r="AK18" s="111">
        <f>COUNTIF(PresençasEmDezembro[[#This Row],[1]:[31]],Código3)</f>
        <v>0</v>
      </c>
      <c r="AL18" s="111">
        <f>COUNTIF(PresençasEmDezembro[[#This Row],[1]:[31]],Código4)</f>
        <v>0</v>
      </c>
    </row>
    <row r="19" spans="2:39" ht="16.5" customHeight="1" x14ac:dyDescent="0.25">
      <c r="B19" s="3"/>
      <c r="C19" s="4" t="s">
        <v>113</v>
      </c>
      <c r="D19" s="7">
        <f>COUNTIF(PresençasEmDezembro[1],"U")+COUNTIF(PresençasEmDezembro[1],"E")</f>
        <v>0</v>
      </c>
      <c r="E19" s="7">
        <f>COUNTIF(PresençasEmDezembro[2],"U")+COUNTIF(PresençasEmDezembro[2],"E")</f>
        <v>0</v>
      </c>
      <c r="F19" s="7">
        <f>COUNTIF(PresençasEmDezembro[3],"U")+COUNTIF(PresençasEmDezembro[3],"E")</f>
        <v>0</v>
      </c>
      <c r="G19" s="7">
        <f>COUNTIF(PresençasEmDezembro[4],"U")+COUNTIF(PresençasEmDezembro[4],"E")</f>
        <v>0</v>
      </c>
      <c r="H19" s="7">
        <f>COUNTIF(PresençasEmDezembro[5],"U")+COUNTIF(PresençasEmDezembro[5],"E")</f>
        <v>0</v>
      </c>
      <c r="I19" s="7">
        <f>COUNTIF(PresençasEmDezembro[6],"U")+COUNTIF(PresençasEmDezembro[6],"E")</f>
        <v>0</v>
      </c>
      <c r="J19" s="7">
        <f>COUNTIF(PresençasEmDezembro[7],"U")+COUNTIF(PresençasEmDezembro[7],"E")</f>
        <v>0</v>
      </c>
      <c r="K19" s="7">
        <f>COUNTIF(PresençasEmDezembro[8],"U")+COUNTIF(PresençasEmDezembro[8],"E")</f>
        <v>0</v>
      </c>
      <c r="L19" s="7">
        <f>COUNTIF(PresençasEmDezembro[9],"U")+COUNTIF(PresençasEmDezembro[9],"E")</f>
        <v>0</v>
      </c>
      <c r="M19" s="7">
        <f>COUNTIF(PresençasEmDezembro[10],"U")+COUNTIF(PresençasEmDezembro[10],"E")</f>
        <v>0</v>
      </c>
      <c r="N19" s="7">
        <f>COUNTIF(PresençasEmDezembro[11],"U")+COUNTIF(PresençasEmDezembro[11],"E")</f>
        <v>0</v>
      </c>
      <c r="O19" s="7">
        <f>COUNTIF(PresençasEmDezembro[12],"U")+COUNTIF(PresençasEmDezembro[12],"E")</f>
        <v>0</v>
      </c>
      <c r="P19" s="7">
        <f>COUNTIF(PresençasEmDezembro[13],"U")+COUNTIF(PresençasEmDezembro[13],"E")</f>
        <v>0</v>
      </c>
      <c r="Q19" s="7">
        <f>COUNTIF(PresençasEmDezembro[14],"U")+COUNTIF(PresençasEmDezembro[14],"E")</f>
        <v>0</v>
      </c>
      <c r="R19" s="7">
        <f>COUNTIF(PresençasEmDezembro[15],"U")+COUNTIF(PresençasEmDezembro[15],"E")</f>
        <v>0</v>
      </c>
      <c r="S19" s="7">
        <f>COUNTIF(PresençasEmDezembro[16],"U")+COUNTIF(PresençasEmDezembro[16],"E")</f>
        <v>0</v>
      </c>
      <c r="T19" s="7">
        <f>COUNTIF(PresençasEmDezembro[17],"U")+COUNTIF(PresençasEmDezembro[17],"E")</f>
        <v>0</v>
      </c>
      <c r="U19" s="7">
        <f>COUNTIF(PresençasEmDezembro[18],"U")+COUNTIF(PresençasEmDezembro[18],"E")</f>
        <v>0</v>
      </c>
      <c r="V19" s="7">
        <f>COUNTIF(PresençasEmDezembro[19],"U")+COUNTIF(PresençasEmDezembro[19],"E")</f>
        <v>0</v>
      </c>
      <c r="W19" s="7">
        <f>COUNTIF(PresençasEmDezembro[20],"U")+COUNTIF(PresençasEmDezembro[20],"E")</f>
        <v>0</v>
      </c>
      <c r="X19" s="7">
        <f>COUNTIF(PresençasEmDezembro[21],"U")+COUNTIF(PresençasEmDezembro[21],"E")</f>
        <v>0</v>
      </c>
      <c r="Y19" s="7">
        <f>COUNTIF(PresençasEmDezembro[22],"U")+COUNTIF(PresençasEmDezembro[22],"E")</f>
        <v>0</v>
      </c>
      <c r="Z19" s="7">
        <f>COUNTIF(PresençasEmDezembro[23],"U")+COUNTIF(PresençasEmDezembro[23],"E")</f>
        <v>0</v>
      </c>
      <c r="AA19" s="7">
        <f>COUNTIF(PresençasEmDezembro[24],"U")+COUNTIF(PresençasEmDezembro[24],"E")</f>
        <v>0</v>
      </c>
      <c r="AB19" s="7">
        <f>COUNTIF(PresençasEmDezembro[25],"U")+COUNTIF(PresençasEmDezembro[25],"E")</f>
        <v>0</v>
      </c>
      <c r="AC19" s="7">
        <f>COUNTIF(PresençasEmDezembro[26],"U")+COUNTIF(PresençasEmDezembro[26],"E")</f>
        <v>0</v>
      </c>
      <c r="AD19" s="7">
        <f>COUNTIF(PresençasEmDezembro[27],"U")+COUNTIF(PresençasEmDezembro[27],"E")</f>
        <v>0</v>
      </c>
      <c r="AE19" s="7">
        <f>COUNTIF(PresençasEmDezembro[28],"U")+COUNTIF(PresençasEmDezembro[28],"E")</f>
        <v>0</v>
      </c>
      <c r="AF19" s="7">
        <f>COUNTIF(PresençasEmDezembro[29],"U")+COUNTIF(PresençasEmDezembro[29],"E")</f>
        <v>0</v>
      </c>
      <c r="AG19" s="7">
        <f>COUNTIF(PresençasEmDezembro[30],"U")+COUNTIF(PresençasEmDezembro[30],"E")</f>
        <v>0</v>
      </c>
      <c r="AH19" s="7">
        <f>COUNTIF(PresençasEmDezembro[31],"U")+COUNTIF(PresençasEmDezembro[31],"E")</f>
        <v>0</v>
      </c>
      <c r="AI19" s="7">
        <f>SUBTOTAL(109,PresençasEmDezembro[T])</f>
        <v>0</v>
      </c>
      <c r="AJ19" s="7">
        <f>SUBTOTAL(109,PresençasEmDezembro[E])</f>
        <v>0</v>
      </c>
      <c r="AK19" s="7">
        <f>SUBTOTAL(109,PresençasEmDezembro[U])</f>
        <v>0</v>
      </c>
      <c r="AL19" s="7">
        <f>SUBTOTAL(109,PresençasEmDezembro[P])</f>
        <v>0</v>
      </c>
      <c r="AM19" s="7">
        <f>SUBTOTAL(109,PresençasEmDezembro[Dias de Ausência])</f>
        <v>0</v>
      </c>
    </row>
    <row r="20" spans="2:39" ht="16.5" customHeight="1" x14ac:dyDescent="0.25"/>
    <row r="21" spans="2:39" ht="16.5" customHeight="1" x14ac:dyDescent="0.25"/>
    <row r="22" spans="2:39" ht="16.5" customHeight="1" x14ac:dyDescent="0.25"/>
    <row r="23" spans="2:39" ht="16.5" customHeight="1" x14ac:dyDescent="0.25"/>
    <row r="24" spans="2:39" ht="16.5" customHeight="1" x14ac:dyDescent="0.25"/>
    <row r="25" spans="2:39" ht="16.5" customHeight="1" x14ac:dyDescent="0.25"/>
    <row r="26" spans="2:39" ht="16.5" customHeight="1" x14ac:dyDescent="0.25"/>
    <row r="27" spans="2:39" ht="16.5" customHeight="1" x14ac:dyDescent="0.25"/>
    <row r="28" spans="2:39" ht="16.5" customHeight="1" x14ac:dyDescent="0.25"/>
    <row r="29" spans="2:39" ht="16.5" customHeight="1" x14ac:dyDescent="0.25"/>
    <row r="30" spans="2:39" ht="16.5" customHeight="1" x14ac:dyDescent="0.25"/>
    <row r="31" spans="2:39" ht="16.5" customHeight="1" x14ac:dyDescent="0.25"/>
    <row r="32" spans="2:39"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6.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sheetData>
  <sheetProtection formatCells="0" formatColumns="0" formatRows="0" insertColumns="0" insertRows="0" insertHyperlinks="0" deleteColumns="0" deleteRows="0" sort="0" autoFilter="0" pivotTables="0"/>
  <mergeCells count="1">
    <mergeCell ref="AI5:AM5"/>
  </mergeCells>
  <conditionalFormatting sqref="AM7:AM18">
    <cfRule type="dataBar" priority="6">
      <dataBar>
        <cfvo type="min"/>
        <cfvo type="num" val="31"/>
        <color theme="4"/>
      </dataBar>
      <extLst>
        <ext xmlns:x14="http://schemas.microsoft.com/office/spreadsheetml/2009/9/main" uri="{B025F937-C7B1-47D3-B67F-A62EFF666E3E}">
          <x14:id>{F1B3F415-3C3C-4616-B9AA-9BBD8C09A1CE}</x14:id>
        </ext>
      </extLst>
    </cfRule>
  </conditionalFormatting>
  <conditionalFormatting sqref="AG7:AI18">
    <cfRule type="expression" dxfId="970" priority="7" stopIfTrue="1">
      <formula>AG7=Código2</formula>
    </cfRule>
  </conditionalFormatting>
  <conditionalFormatting sqref="AG7:AH18">
    <cfRule type="expression" dxfId="969" priority="8" stopIfTrue="1">
      <formula>AG7=Código5</formula>
    </cfRule>
    <cfRule type="expression" dxfId="968" priority="9" stopIfTrue="1">
      <formula>AG7=Código4</formula>
    </cfRule>
    <cfRule type="expression" dxfId="967" priority="10" stopIfTrue="1">
      <formula>AG7=Código3</formula>
    </cfRule>
    <cfRule type="expression" dxfId="966" priority="11" stopIfTrue="1">
      <formula>AG7=Código1</formula>
    </cfRule>
  </conditionalFormatting>
  <conditionalFormatting sqref="D7:AF18">
    <cfRule type="expression" dxfId="965" priority="1" stopIfTrue="1">
      <formula>D7=Código2</formula>
    </cfRule>
  </conditionalFormatting>
  <conditionalFormatting sqref="D7:AF18">
    <cfRule type="expression" dxfId="964" priority="2" stopIfTrue="1">
      <formula>D7=Código5</formula>
    </cfRule>
    <cfRule type="expression" dxfId="963" priority="3" stopIfTrue="1">
      <formula>D7=Código4</formula>
    </cfRule>
    <cfRule type="expression" dxfId="962" priority="4" stopIfTrue="1">
      <formula>D7=Código3</formula>
    </cfRule>
    <cfRule type="expression" dxfId="961" priority="5" stopIfTrue="1">
      <formula>D7=Código1</formula>
    </cfRule>
  </conditionalFormatting>
  <dataValidations count="1">
    <dataValidation type="list" errorStyle="warning" allowBlank="1" showInputMessage="1" showErrorMessage="1" errorTitle="Ups!" error="O ID de Estudante que introduziu não está na folha da Lista de Estudantes. Pode clicar em Sim para usar os dados que introduziu, mas esse ID de Estudante não estará disponível na folha de Relatório de Presenças de Estudantes." sqref="B7:B18" xr:uid="{00000000-0002-0000-0600-000000000000}">
      <formula1>IDDeAluno</formula1>
    </dataValidation>
  </dataValidations>
  <printOptions horizontalCentered="1"/>
  <pageMargins left="0.5" right="0.5" top="0.75" bottom="0.75" header="0.3" footer="0.3"/>
  <pageSetup paperSize="9" scale="58" fitToHeight="0" orientation="landscape" verticalDpi="12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1B3F415-3C3C-4616-B9AA-9BBD8C09A1CE}">
            <x14:dataBar minLength="0" maxLength="100" border="1" negativeBarBorderColorSameAsPositive="0">
              <x14:cfvo type="autoMin"/>
              <x14:cfvo type="num">
                <xm:f>31</xm:f>
              </x14:cfvo>
              <x14:borderColor theme="4"/>
              <x14:negativeFillColor rgb="FFFF0000"/>
              <x14:negativeBorderColor rgb="FFFF0000"/>
              <x14:axisColor rgb="FF000000"/>
            </x14:dataBar>
          </x14:cfRule>
          <xm:sqref>AM7:AM18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4" tint="-0.499984740745262"/>
    <pageSetUpPr fitToPage="1"/>
  </sheetPr>
  <dimension ref="A1:AN346"/>
  <sheetViews>
    <sheetView showGridLines="0" tabSelected="1" zoomScaleNormal="100" workbookViewId="0">
      <pane xSplit="3" ySplit="6" topLeftCell="Q10" activePane="bottomRight" state="frozen"/>
      <selection pane="topRight"/>
      <selection pane="bottomLeft"/>
      <selection pane="bottomRight" activeCell="C10" sqref="C10"/>
    </sheetView>
  </sheetViews>
  <sheetFormatPr defaultRowHeight="15" customHeight="1" x14ac:dyDescent="0.25"/>
  <cols>
    <col min="1" max="1" width="2.7109375" style="11" customWidth="1"/>
    <col min="2" max="2" width="15.7109375" style="11" bestFit="1" customWidth="1"/>
    <col min="3" max="3" width="41.28515625" style="12" bestFit="1" customWidth="1"/>
    <col min="4" max="34" width="5" style="10" customWidth="1"/>
    <col min="35" max="35" width="4.7109375" style="9" customWidth="1"/>
    <col min="36" max="36" width="4.7109375" style="10" customWidth="1"/>
    <col min="37" max="38" width="4.7109375" style="11" customWidth="1"/>
    <col min="39" max="39" width="16.85546875" style="11" bestFit="1" customWidth="1"/>
    <col min="40" max="16384" width="9.140625" style="11"/>
  </cols>
  <sheetData>
    <row r="1" spans="1:40" s="1" customFormat="1" ht="42" customHeight="1" x14ac:dyDescent="0.25">
      <c r="A1" s="61" t="s">
        <v>88</v>
      </c>
      <c r="B1" s="39"/>
      <c r="C1" s="39"/>
      <c r="D1" s="40"/>
      <c r="E1" s="40"/>
      <c r="F1" s="40"/>
      <c r="G1" s="40"/>
      <c r="H1" s="40"/>
      <c r="I1" s="40"/>
      <c r="J1" s="40"/>
      <c r="K1" s="40"/>
      <c r="L1" s="40"/>
      <c r="M1" s="40"/>
      <c r="N1" s="40"/>
      <c r="O1" s="40"/>
      <c r="P1" s="40"/>
      <c r="Q1" s="40"/>
      <c r="R1" s="40"/>
      <c r="S1" s="40"/>
      <c r="T1" s="40"/>
      <c r="U1" s="40"/>
      <c r="V1" s="40"/>
      <c r="W1" s="40"/>
      <c r="X1" s="40"/>
      <c r="Y1" s="40"/>
      <c r="Z1" s="40"/>
      <c r="AA1" s="40"/>
      <c r="AB1" s="40"/>
      <c r="AC1" s="39"/>
      <c r="AD1" s="39"/>
      <c r="AE1" s="39"/>
      <c r="AF1" s="39"/>
      <c r="AG1" s="41"/>
      <c r="AH1" s="39"/>
      <c r="AI1" s="39"/>
      <c r="AJ1" s="42"/>
      <c r="AK1" s="39"/>
      <c r="AL1" s="55" t="s">
        <v>71</v>
      </c>
      <c r="AM1" s="56">
        <v>2018</v>
      </c>
    </row>
    <row r="2" spans="1:40" customFormat="1" ht="13.5" x14ac:dyDescent="0.25"/>
    <row r="3" spans="1:40" s="30" customFormat="1" ht="12.75" customHeight="1" x14ac:dyDescent="0.25">
      <c r="C3" s="45" t="s">
        <v>105</v>
      </c>
      <c r="D3" s="49" t="s">
        <v>36</v>
      </c>
      <c r="E3" s="64" t="s">
        <v>82</v>
      </c>
      <c r="F3" s="54"/>
      <c r="H3" s="50" t="s">
        <v>38</v>
      </c>
      <c r="I3" s="54" t="s">
        <v>83</v>
      </c>
      <c r="L3" s="51" t="s">
        <v>37</v>
      </c>
      <c r="M3" s="54" t="s">
        <v>84</v>
      </c>
      <c r="P3" s="52" t="s">
        <v>31</v>
      </c>
      <c r="Q3" s="54" t="s">
        <v>85</v>
      </c>
      <c r="T3" s="53" t="s">
        <v>70</v>
      </c>
      <c r="U3" s="54" t="s">
        <v>86</v>
      </c>
      <c r="W3"/>
      <c r="X3"/>
      <c r="Y3"/>
      <c r="AD3" s="29"/>
      <c r="AE3" s="29"/>
      <c r="AH3" s="31"/>
      <c r="AI3" s="32"/>
      <c r="AK3" s="33"/>
    </row>
    <row r="4" spans="1:40" customFormat="1" ht="16.5" customHeight="1" x14ac:dyDescent="0.25"/>
    <row r="5" spans="1:40" s="2" customFormat="1" ht="18" customHeight="1" x14ac:dyDescent="0.3">
      <c r="B5" s="58">
        <f>DATE(CalendárioAnual,8,1)</f>
        <v>43313</v>
      </c>
      <c r="C5" s="57"/>
      <c r="D5" s="43" t="str">
        <f>TEXT(WEEKDAY(DATE(CalendárioAnual,8,1),1),"ddd")</f>
        <v>qua</v>
      </c>
      <c r="E5" s="43" t="str">
        <f>TEXT(WEEKDAY(DATE(CalendárioAnual,8,2),1),"ddd")</f>
        <v>qui</v>
      </c>
      <c r="F5" s="43" t="str">
        <f>TEXT(WEEKDAY(DATE(CalendárioAnual,8,3),1),"ddd")</f>
        <v>sex</v>
      </c>
      <c r="G5" s="43" t="str">
        <f>TEXT(WEEKDAY(DATE(CalendárioAnual,8,4),1),"ddd")</f>
        <v>sáb</v>
      </c>
      <c r="H5" s="43" t="str">
        <f>TEXT(WEEKDAY(DATE(CalendárioAnual,8,5),1),"ddd")</f>
        <v>dom</v>
      </c>
      <c r="I5" s="43" t="str">
        <f>TEXT(WEEKDAY(DATE(CalendárioAnual,8,6),1),"ddd")</f>
        <v>seg</v>
      </c>
      <c r="J5" s="43" t="str">
        <f>TEXT(WEEKDAY(DATE(CalendárioAnual,8,7),1),"ddd")</f>
        <v>ter</v>
      </c>
      <c r="K5" s="43" t="str">
        <f>TEXT(WEEKDAY(DATE(CalendárioAnual,8,8),1),"ddd")</f>
        <v>qua</v>
      </c>
      <c r="L5" s="43" t="str">
        <f>TEXT(WEEKDAY(DATE(CalendárioAnual,8,9),1),"ddd")</f>
        <v>qui</v>
      </c>
      <c r="M5" s="43" t="str">
        <f>TEXT(WEEKDAY(DATE(CalendárioAnual,8,10),1),"ddd")</f>
        <v>sex</v>
      </c>
      <c r="N5" s="43" t="str">
        <f>TEXT(WEEKDAY(DATE(CalendárioAnual,8,11),1),"ddd")</f>
        <v>sáb</v>
      </c>
      <c r="O5" s="43" t="str">
        <f>TEXT(WEEKDAY(DATE(CalendárioAnual,8,12),1),"ddd")</f>
        <v>dom</v>
      </c>
      <c r="P5" s="43" t="str">
        <f>TEXT(WEEKDAY(DATE(CalendárioAnual,8,13),1),"ddd")</f>
        <v>seg</v>
      </c>
      <c r="Q5" s="43" t="str">
        <f>TEXT(WEEKDAY(DATE(CalendárioAnual,8,14),1),"ddd")</f>
        <v>ter</v>
      </c>
      <c r="R5" s="43" t="str">
        <f>TEXT(WEEKDAY(DATE(CalendárioAnual,8,15),1),"ddd")</f>
        <v>qua</v>
      </c>
      <c r="S5" s="43" t="str">
        <f>TEXT(WEEKDAY(DATE(CalendárioAnual,8,16),1),"ddd")</f>
        <v>qui</v>
      </c>
      <c r="T5" s="43" t="str">
        <f>TEXT(WEEKDAY(DATE(CalendárioAnual,8,17),1),"ddd")</f>
        <v>sex</v>
      </c>
      <c r="U5" s="43" t="str">
        <f>TEXT(WEEKDAY(DATE(CalendárioAnual,8,18),1),"ddd")</f>
        <v>sáb</v>
      </c>
      <c r="V5" s="43" t="str">
        <f>TEXT(WEEKDAY(DATE(CalendárioAnual,8,19),1),"ddd")</f>
        <v>dom</v>
      </c>
      <c r="W5" s="43" t="str">
        <f>TEXT(WEEKDAY(DATE(CalendárioAnual,8,20),1),"ddd")</f>
        <v>seg</v>
      </c>
      <c r="X5" s="43" t="str">
        <f>TEXT(WEEKDAY(DATE(CalendárioAnual,8,21),1),"ddd")</f>
        <v>ter</v>
      </c>
      <c r="Y5" s="43" t="str">
        <f>TEXT(WEEKDAY(DATE(CalendárioAnual,8,22),1),"ddd")</f>
        <v>qua</v>
      </c>
      <c r="Z5" s="43" t="str">
        <f>TEXT(WEEKDAY(DATE(CalendárioAnual,8,23),1),"ddd")</f>
        <v>qui</v>
      </c>
      <c r="AA5" s="43" t="str">
        <f>TEXT(WEEKDAY(DATE(CalendárioAnual,8,24),1),"ddd")</f>
        <v>sex</v>
      </c>
      <c r="AB5" s="43" t="str">
        <f>TEXT(WEEKDAY(DATE(CalendárioAnual,8,25),1),"ddd")</f>
        <v>sáb</v>
      </c>
      <c r="AC5" s="43" t="str">
        <f>TEXT(WEEKDAY(DATE(CalendárioAnual,8,26),1),"ddd")</f>
        <v>dom</v>
      </c>
      <c r="AD5" s="43" t="str">
        <f>TEXT(WEEKDAY(DATE(CalendárioAnual,8,27),1),"ddd")</f>
        <v>seg</v>
      </c>
      <c r="AE5" s="43" t="str">
        <f>TEXT(WEEKDAY(DATE(CalendárioAnual,8,28),1),"ddd")</f>
        <v>ter</v>
      </c>
      <c r="AF5" s="43" t="str">
        <f>TEXT(WEEKDAY(DATE(CalendárioAnual,8,29),1),"ddd")</f>
        <v>qua</v>
      </c>
      <c r="AG5" s="43" t="str">
        <f>TEXT(WEEKDAY(DATE(CalendárioAnual,8,30),1),"ddd")</f>
        <v>qui</v>
      </c>
      <c r="AH5" s="43" t="str">
        <f>TEXT(WEEKDAY(DATE(CalendárioAnual,8,31),1),"ddd")</f>
        <v>sex</v>
      </c>
      <c r="AI5" s="116" t="s">
        <v>40</v>
      </c>
      <c r="AJ5" s="117"/>
      <c r="AK5" s="117"/>
      <c r="AL5" s="117"/>
      <c r="AM5" s="118"/>
    </row>
    <row r="6" spans="1:40" s="6" customFormat="1" ht="14.25" customHeight="1" x14ac:dyDescent="0.25">
      <c r="B6" s="29" t="s">
        <v>34</v>
      </c>
      <c r="C6" s="46" t="s">
        <v>35</v>
      </c>
      <c r="D6" s="3" t="s">
        <v>0</v>
      </c>
      <c r="E6" s="3" t="s">
        <v>1</v>
      </c>
      <c r="F6" s="3" t="s">
        <v>2</v>
      </c>
      <c r="G6" s="3" t="s">
        <v>3</v>
      </c>
      <c r="H6" s="3" t="s">
        <v>4</v>
      </c>
      <c r="I6" s="3" t="s">
        <v>5</v>
      </c>
      <c r="J6" s="3" t="s">
        <v>6</v>
      </c>
      <c r="K6" s="3" t="s">
        <v>7</v>
      </c>
      <c r="L6" s="3" t="s">
        <v>8</v>
      </c>
      <c r="M6" s="3" t="s">
        <v>9</v>
      </c>
      <c r="N6" s="3" t="s">
        <v>10</v>
      </c>
      <c r="O6" s="3" t="s">
        <v>11</v>
      </c>
      <c r="P6" s="3" t="s">
        <v>12</v>
      </c>
      <c r="Q6" s="3" t="s">
        <v>13</v>
      </c>
      <c r="R6" s="3" t="s">
        <v>14</v>
      </c>
      <c r="S6" s="3" t="s">
        <v>15</v>
      </c>
      <c r="T6" s="3" t="s">
        <v>16</v>
      </c>
      <c r="U6" s="3" t="s">
        <v>17</v>
      </c>
      <c r="V6" s="3" t="s">
        <v>18</v>
      </c>
      <c r="W6" s="3" t="s">
        <v>19</v>
      </c>
      <c r="X6" s="3" t="s">
        <v>20</v>
      </c>
      <c r="Y6" s="3" t="s">
        <v>21</v>
      </c>
      <c r="Z6" s="3" t="s">
        <v>22</v>
      </c>
      <c r="AA6" s="3" t="s">
        <v>23</v>
      </c>
      <c r="AB6" s="3" t="s">
        <v>24</v>
      </c>
      <c r="AC6" s="3" t="s">
        <v>25</v>
      </c>
      <c r="AD6" s="3" t="s">
        <v>26</v>
      </c>
      <c r="AE6" s="3" t="s">
        <v>27</v>
      </c>
      <c r="AF6" s="3" t="s">
        <v>28</v>
      </c>
      <c r="AG6" s="3" t="s">
        <v>29</v>
      </c>
      <c r="AH6" s="3" t="s">
        <v>30</v>
      </c>
      <c r="AI6" s="88" t="s">
        <v>36</v>
      </c>
      <c r="AJ6" s="65" t="s">
        <v>38</v>
      </c>
      <c r="AK6" s="66" t="s">
        <v>37</v>
      </c>
      <c r="AL6" s="67" t="s">
        <v>31</v>
      </c>
      <c r="AM6" s="48" t="s">
        <v>39</v>
      </c>
      <c r="AN6" s="5"/>
    </row>
    <row r="7" spans="1:40" s="6" customFormat="1" ht="16.5" customHeight="1" x14ac:dyDescent="0.25">
      <c r="B7">
        <v>1</v>
      </c>
      <c r="C7" t="s">
        <v>125</v>
      </c>
      <c r="D7" s="22" t="s">
        <v>31</v>
      </c>
      <c r="E7" s="22" t="s">
        <v>31</v>
      </c>
      <c r="F7" s="22" t="s">
        <v>36</v>
      </c>
      <c r="G7" s="22" t="s">
        <v>36</v>
      </c>
      <c r="H7" s="22" t="s">
        <v>31</v>
      </c>
      <c r="I7" s="22" t="s">
        <v>70</v>
      </c>
      <c r="J7" s="22" t="s">
        <v>70</v>
      </c>
      <c r="K7" s="22" t="s">
        <v>31</v>
      </c>
      <c r="L7" s="22" t="s">
        <v>31</v>
      </c>
      <c r="M7" s="22" t="s">
        <v>38</v>
      </c>
      <c r="N7" s="22" t="s">
        <v>31</v>
      </c>
      <c r="O7" s="22" t="s">
        <v>31</v>
      </c>
      <c r="P7" s="22" t="s">
        <v>70</v>
      </c>
      <c r="Q7" s="22" t="s">
        <v>70</v>
      </c>
      <c r="R7" s="22" t="s">
        <v>31</v>
      </c>
      <c r="S7" s="22" t="s">
        <v>31</v>
      </c>
      <c r="T7" s="22" t="s">
        <v>31</v>
      </c>
      <c r="U7" s="22" t="s">
        <v>31</v>
      </c>
      <c r="V7" s="22" t="s">
        <v>31</v>
      </c>
      <c r="W7" s="22" t="s">
        <v>70</v>
      </c>
      <c r="X7" s="22" t="s">
        <v>70</v>
      </c>
      <c r="Y7" s="22" t="s">
        <v>31</v>
      </c>
      <c r="Z7" s="22" t="s">
        <v>31</v>
      </c>
      <c r="AA7" s="22" t="s">
        <v>31</v>
      </c>
      <c r="AB7" s="22" t="s">
        <v>31</v>
      </c>
      <c r="AC7" s="22" t="s">
        <v>31</v>
      </c>
      <c r="AD7" s="22" t="s">
        <v>70</v>
      </c>
      <c r="AE7" s="22" t="s">
        <v>70</v>
      </c>
      <c r="AF7" s="22" t="s">
        <v>31</v>
      </c>
      <c r="AG7" s="22" t="s">
        <v>31</v>
      </c>
      <c r="AH7" s="22" t="s">
        <v>31</v>
      </c>
      <c r="AI7" s="7">
        <f>COUNTIF(PresençasEmAgosto[[#This Row],[1]:[31]],Código1)</f>
        <v>2</v>
      </c>
      <c r="AJ7" s="35">
        <f>COUNTIF(PresençasEmAgosto[[#This Row],[1]:[31]],Código2)</f>
        <v>1</v>
      </c>
      <c r="AK7" s="35">
        <f>COUNTIF(PresençasEmAgosto[[#This Row],[1]:[31]],Código3)</f>
        <v>0</v>
      </c>
      <c r="AL7" s="35">
        <f>COUNTIF(PresençasEmAgosto[[#This Row],[1]:[31]],Código4)</f>
        <v>20</v>
      </c>
      <c r="AM7" s="7">
        <f>SUM(PresençasEmAgosto[[#This Row],[E]:[U]])</f>
        <v>1</v>
      </c>
      <c r="AN7" s="5"/>
    </row>
    <row r="8" spans="1:40" s="6" customFormat="1" ht="16.5" customHeight="1" x14ac:dyDescent="0.25">
      <c r="B8">
        <v>2</v>
      </c>
      <c r="C8" t="s">
        <v>126</v>
      </c>
      <c r="D8" s="22" t="s">
        <v>31</v>
      </c>
      <c r="E8" s="22" t="s">
        <v>37</v>
      </c>
      <c r="F8" s="22" t="s">
        <v>31</v>
      </c>
      <c r="G8" s="22" t="s">
        <v>31</v>
      </c>
      <c r="H8" s="22" t="s">
        <v>31</v>
      </c>
      <c r="I8" s="22" t="s">
        <v>70</v>
      </c>
      <c r="J8" s="22" t="s">
        <v>70</v>
      </c>
      <c r="K8" s="22" t="s">
        <v>31</v>
      </c>
      <c r="L8" s="22" t="s">
        <v>38</v>
      </c>
      <c r="M8" s="22" t="s">
        <v>38</v>
      </c>
      <c r="N8" s="22" t="s">
        <v>38</v>
      </c>
      <c r="O8" s="22" t="s">
        <v>38</v>
      </c>
      <c r="P8" s="22" t="s">
        <v>70</v>
      </c>
      <c r="Q8" s="22" t="s">
        <v>70</v>
      </c>
      <c r="R8" s="22" t="s">
        <v>31</v>
      </c>
      <c r="S8" s="22" t="s">
        <v>31</v>
      </c>
      <c r="T8" s="22" t="s">
        <v>31</v>
      </c>
      <c r="U8" s="22" t="s">
        <v>31</v>
      </c>
      <c r="V8" s="22" t="s">
        <v>31</v>
      </c>
      <c r="W8" s="22" t="s">
        <v>70</v>
      </c>
      <c r="X8" s="22" t="s">
        <v>70</v>
      </c>
      <c r="Y8" s="22" t="s">
        <v>31</v>
      </c>
      <c r="Z8" s="22" t="s">
        <v>31</v>
      </c>
      <c r="AA8" s="22" t="s">
        <v>31</v>
      </c>
      <c r="AB8" s="22" t="s">
        <v>36</v>
      </c>
      <c r="AC8" s="22" t="s">
        <v>36</v>
      </c>
      <c r="AD8" s="22" t="s">
        <v>70</v>
      </c>
      <c r="AE8" s="22" t="s">
        <v>70</v>
      </c>
      <c r="AF8" s="22" t="s">
        <v>31</v>
      </c>
      <c r="AG8" s="22" t="s">
        <v>31</v>
      </c>
      <c r="AH8" s="22" t="s">
        <v>31</v>
      </c>
      <c r="AI8" s="7">
        <f>COUNTIF(PresençasEmAgosto[[#This Row],[1]:[31]],Código1)</f>
        <v>2</v>
      </c>
      <c r="AJ8" s="35">
        <f>COUNTIF(PresençasEmAgosto[[#This Row],[1]:[31]],Código2)</f>
        <v>4</v>
      </c>
      <c r="AK8" s="35">
        <f>COUNTIF(PresençasEmAgosto[[#This Row],[1]:[31]],Código3)</f>
        <v>1</v>
      </c>
      <c r="AL8" s="35">
        <f>COUNTIF(PresençasEmAgosto[[#This Row],[1]:[31]],Código4)</f>
        <v>16</v>
      </c>
      <c r="AM8" s="7">
        <f>SUM(PresençasEmAgosto[[#This Row],[E]:[U]])</f>
        <v>5</v>
      </c>
      <c r="AN8" s="5"/>
    </row>
    <row r="9" spans="1:40" s="1" customFormat="1" ht="16.5" customHeight="1" x14ac:dyDescent="0.25">
      <c r="B9">
        <v>3</v>
      </c>
      <c r="C9" t="s">
        <v>127</v>
      </c>
      <c r="D9" s="22" t="s">
        <v>31</v>
      </c>
      <c r="E9" s="22" t="s">
        <v>38</v>
      </c>
      <c r="F9" s="22" t="s">
        <v>31</v>
      </c>
      <c r="G9" s="22" t="s">
        <v>31</v>
      </c>
      <c r="H9" s="22" t="s">
        <v>31</v>
      </c>
      <c r="I9" s="22" t="s">
        <v>70</v>
      </c>
      <c r="J9" s="22" t="s">
        <v>70</v>
      </c>
      <c r="K9" s="22" t="s">
        <v>31</v>
      </c>
      <c r="L9" s="22" t="s">
        <v>31</v>
      </c>
      <c r="M9" s="22" t="s">
        <v>37</v>
      </c>
      <c r="N9" s="22" t="s">
        <v>31</v>
      </c>
      <c r="O9" s="22" t="s">
        <v>31</v>
      </c>
      <c r="P9" s="22" t="s">
        <v>70</v>
      </c>
      <c r="Q9" s="22" t="s">
        <v>70</v>
      </c>
      <c r="R9" s="22" t="s">
        <v>31</v>
      </c>
      <c r="S9" s="22" t="s">
        <v>31</v>
      </c>
      <c r="T9" s="22" t="s">
        <v>31</v>
      </c>
      <c r="U9" s="22" t="s">
        <v>31</v>
      </c>
      <c r="V9" s="22" t="s">
        <v>31</v>
      </c>
      <c r="W9" s="22" t="s">
        <v>70</v>
      </c>
      <c r="X9" s="22" t="s">
        <v>70</v>
      </c>
      <c r="Y9" s="22" t="s">
        <v>31</v>
      </c>
      <c r="Z9" s="22" t="s">
        <v>31</v>
      </c>
      <c r="AA9" s="22" t="s">
        <v>38</v>
      </c>
      <c r="AB9" s="22" t="s">
        <v>38</v>
      </c>
      <c r="AC9" s="22" t="s">
        <v>31</v>
      </c>
      <c r="AD9" s="22" t="s">
        <v>70</v>
      </c>
      <c r="AE9" s="22" t="s">
        <v>70</v>
      </c>
      <c r="AF9" s="22" t="s">
        <v>31</v>
      </c>
      <c r="AG9" s="22" t="s">
        <v>31</v>
      </c>
      <c r="AH9" s="22" t="s">
        <v>31</v>
      </c>
      <c r="AI9" s="7">
        <f>COUNTIF(PresençasEmAgosto[[#This Row],[1]:[31]],Código1)</f>
        <v>0</v>
      </c>
      <c r="AJ9" s="35">
        <f>COUNTIF(PresençasEmAgosto[[#This Row],[1]:[31]],Código2)</f>
        <v>3</v>
      </c>
      <c r="AK9" s="35">
        <f>COUNTIF(PresençasEmAgosto[[#This Row],[1]:[31]],Código3)</f>
        <v>1</v>
      </c>
      <c r="AL9" s="35">
        <f>COUNTIF(PresençasEmAgosto[[#This Row],[1]:[31]],Código4)</f>
        <v>19</v>
      </c>
      <c r="AM9" s="7">
        <f>SUM(PresençasEmAgosto[[#This Row],[E]:[U]])</f>
        <v>4</v>
      </c>
      <c r="AN9" s="8"/>
    </row>
    <row r="10" spans="1:40" ht="16.5" customHeight="1" x14ac:dyDescent="0.25">
      <c r="B10">
        <v>4</v>
      </c>
      <c r="C10"/>
      <c r="D10" s="22" t="s">
        <v>31</v>
      </c>
      <c r="E10" s="22" t="s">
        <v>31</v>
      </c>
      <c r="F10" s="22" t="s">
        <v>31</v>
      </c>
      <c r="G10" s="22" t="s">
        <v>31</v>
      </c>
      <c r="H10" s="22" t="s">
        <v>31</v>
      </c>
      <c r="I10" s="22" t="s">
        <v>70</v>
      </c>
      <c r="J10" s="22" t="s">
        <v>70</v>
      </c>
      <c r="K10" s="22" t="s">
        <v>31</v>
      </c>
      <c r="L10" s="22" t="s">
        <v>31</v>
      </c>
      <c r="M10" s="22" t="s">
        <v>31</v>
      </c>
      <c r="N10" s="22" t="s">
        <v>31</v>
      </c>
      <c r="O10" s="22" t="s">
        <v>31</v>
      </c>
      <c r="P10" s="22" t="s">
        <v>70</v>
      </c>
      <c r="Q10" s="22" t="s">
        <v>70</v>
      </c>
      <c r="R10" s="22" t="s">
        <v>31</v>
      </c>
      <c r="S10" s="22" t="s">
        <v>31</v>
      </c>
      <c r="T10" s="22" t="s">
        <v>31</v>
      </c>
      <c r="U10" s="22" t="s">
        <v>31</v>
      </c>
      <c r="V10" s="22" t="s">
        <v>31</v>
      </c>
      <c r="W10" s="22" t="s">
        <v>70</v>
      </c>
      <c r="X10" s="22" t="s">
        <v>70</v>
      </c>
      <c r="Y10" s="22" t="s">
        <v>31</v>
      </c>
      <c r="Z10" s="22" t="s">
        <v>37</v>
      </c>
      <c r="AA10" s="22" t="s">
        <v>31</v>
      </c>
      <c r="AB10" s="22" t="s">
        <v>31</v>
      </c>
      <c r="AC10" s="22" t="s">
        <v>38</v>
      </c>
      <c r="AD10" s="22" t="s">
        <v>70</v>
      </c>
      <c r="AE10" s="22" t="s">
        <v>70</v>
      </c>
      <c r="AF10" s="22" t="s">
        <v>31</v>
      </c>
      <c r="AG10" s="22" t="s">
        <v>38</v>
      </c>
      <c r="AH10" s="22" t="s">
        <v>31</v>
      </c>
      <c r="AI10" s="7">
        <f>COUNTIF(PresençasEmAgosto[[#This Row],[1]:[31]],Código1)</f>
        <v>0</v>
      </c>
      <c r="AJ10" s="35">
        <f>COUNTIF(PresençasEmAgosto[[#This Row],[1]:[31]],Código2)</f>
        <v>2</v>
      </c>
      <c r="AK10" s="35">
        <f>COUNTIF(PresençasEmAgosto[[#This Row],[1]:[31]],Código3)</f>
        <v>1</v>
      </c>
      <c r="AL10" s="35">
        <f>COUNTIF(PresençasEmAgosto[[#This Row],[1]:[31]],Código4)</f>
        <v>20</v>
      </c>
      <c r="AM10" s="7">
        <f>SUM(PresençasEmAgosto[[#This Row],[E]:[U]])</f>
        <v>3</v>
      </c>
      <c r="AN10" s="10"/>
    </row>
    <row r="11" spans="1:40" ht="16.5" customHeight="1" x14ac:dyDescent="0.25">
      <c r="B11">
        <v>5</v>
      </c>
      <c r="C11"/>
      <c r="D11" s="22" t="s">
        <v>31</v>
      </c>
      <c r="E11" s="22" t="s">
        <v>31</v>
      </c>
      <c r="F11" s="22" t="s">
        <v>31</v>
      </c>
      <c r="G11" s="22" t="s">
        <v>31</v>
      </c>
      <c r="H11" s="22" t="s">
        <v>31</v>
      </c>
      <c r="I11" s="22" t="s">
        <v>70</v>
      </c>
      <c r="J11" s="22" t="s">
        <v>70</v>
      </c>
      <c r="K11" s="22" t="s">
        <v>31</v>
      </c>
      <c r="L11" s="22" t="s">
        <v>31</v>
      </c>
      <c r="M11" s="22" t="s">
        <v>31</v>
      </c>
      <c r="N11" s="22" t="s">
        <v>31</v>
      </c>
      <c r="O11" s="22" t="s">
        <v>31</v>
      </c>
      <c r="P11" s="22" t="s">
        <v>70</v>
      </c>
      <c r="Q11" s="22" t="s">
        <v>70</v>
      </c>
      <c r="R11" s="22" t="s">
        <v>31</v>
      </c>
      <c r="S11" s="22" t="s">
        <v>31</v>
      </c>
      <c r="T11" s="22" t="s">
        <v>31</v>
      </c>
      <c r="U11" s="22" t="s">
        <v>31</v>
      </c>
      <c r="V11" s="22" t="s">
        <v>31</v>
      </c>
      <c r="W11" s="22" t="s">
        <v>70</v>
      </c>
      <c r="X11" s="22" t="s">
        <v>70</v>
      </c>
      <c r="Y11" s="22" t="s">
        <v>31</v>
      </c>
      <c r="Z11" s="22" t="s">
        <v>31</v>
      </c>
      <c r="AA11" s="22" t="s">
        <v>31</v>
      </c>
      <c r="AB11" s="22" t="s">
        <v>31</v>
      </c>
      <c r="AC11" s="22" t="s">
        <v>31</v>
      </c>
      <c r="AD11" s="22" t="s">
        <v>70</v>
      </c>
      <c r="AE11" s="22" t="s">
        <v>70</v>
      </c>
      <c r="AF11" s="22" t="s">
        <v>31</v>
      </c>
      <c r="AG11" s="22" t="s">
        <v>31</v>
      </c>
      <c r="AH11" s="22" t="s">
        <v>31</v>
      </c>
      <c r="AI11" s="7">
        <f>COUNTIF(PresençasEmAgosto[[#This Row],[1]:[31]],Código1)</f>
        <v>0</v>
      </c>
      <c r="AJ11" s="35">
        <f>COUNTIF(PresençasEmAgosto[[#This Row],[1]:[31]],Código2)</f>
        <v>0</v>
      </c>
      <c r="AK11" s="35">
        <f>COUNTIF(PresençasEmAgosto[[#This Row],[1]:[31]],Código3)</f>
        <v>0</v>
      </c>
      <c r="AL11" s="35">
        <f>COUNTIF(PresençasEmAgosto[[#This Row],[1]:[31]],Código4)</f>
        <v>23</v>
      </c>
      <c r="AM11" s="7">
        <f>SUM(PresençasEmAgosto[[#This Row],[E]:[U]])</f>
        <v>0</v>
      </c>
      <c r="AN11" s="10"/>
    </row>
    <row r="12" spans="1:40" ht="16.5" customHeight="1" x14ac:dyDescent="0.25">
      <c r="B12">
        <v>7</v>
      </c>
      <c r="C12"/>
      <c r="H12" s="10" t="s">
        <v>137</v>
      </c>
      <c r="AI12" s="10">
        <f>COUNTIF(PresençasEmAgosto[[#This Row],[1]:[31]],Código1)</f>
        <v>0</v>
      </c>
      <c r="AJ12" s="111">
        <f>COUNTIF(PresençasEmAgosto[[#This Row],[1]:[31]],Código2)</f>
        <v>1</v>
      </c>
      <c r="AK12" s="111">
        <f>COUNTIF(PresençasEmAgosto[[#This Row],[1]:[31]],Código3)</f>
        <v>0</v>
      </c>
      <c r="AL12" s="111">
        <f>COUNTIF(PresençasEmAgosto[[#This Row],[1]:[31]],Código4)</f>
        <v>0</v>
      </c>
    </row>
    <row r="13" spans="1:40" ht="16.5" customHeight="1" x14ac:dyDescent="0.25">
      <c r="B13">
        <v>8</v>
      </c>
      <c r="C13"/>
      <c r="AI13" s="10">
        <f>COUNTIF(PresençasEmAgosto[[#This Row],[1]:[31]],Código1)</f>
        <v>0</v>
      </c>
      <c r="AJ13" s="111">
        <f>COUNTIF(PresençasEmAgosto[[#This Row],[1]:[31]],Código2)</f>
        <v>0</v>
      </c>
      <c r="AK13" s="111">
        <f>COUNTIF(PresençasEmAgosto[[#This Row],[1]:[31]],Código3)</f>
        <v>0</v>
      </c>
      <c r="AL13" s="111">
        <f>COUNTIF(PresençasEmAgosto[[#This Row],[1]:[31]],Código4)</f>
        <v>0</v>
      </c>
    </row>
    <row r="14" spans="1:40" ht="16.5" customHeight="1" x14ac:dyDescent="0.25">
      <c r="B14">
        <v>10</v>
      </c>
      <c r="C14"/>
      <c r="U14" s="10" t="str">
        <f>Código1</f>
        <v>T</v>
      </c>
      <c r="V14" s="10" t="s">
        <v>138</v>
      </c>
      <c r="AI14" s="10">
        <f>COUNTIF(PresençasEmAgosto[[#This Row],[1]:[31]],Código1)</f>
        <v>2</v>
      </c>
      <c r="AJ14" s="111">
        <f>COUNTIF(PresençasEmAgosto[[#This Row],[1]:[31]],Código2)</f>
        <v>0</v>
      </c>
      <c r="AK14" s="111">
        <f>COUNTIF(PresençasEmAgosto[[#This Row],[1]:[31]],Código3)</f>
        <v>0</v>
      </c>
      <c r="AL14" s="111">
        <f>COUNTIF(PresençasEmAgosto[[#This Row],[1]:[31]],Código4)</f>
        <v>0</v>
      </c>
    </row>
    <row r="15" spans="1:40" ht="16.5" customHeight="1" x14ac:dyDescent="0.25">
      <c r="B15">
        <v>12</v>
      </c>
      <c r="C15"/>
      <c r="V15" s="109"/>
      <c r="AI15" s="10">
        <f>COUNTIF(PresençasEmAgosto[[#This Row],[1]:[31]],Código1)</f>
        <v>0</v>
      </c>
      <c r="AJ15" s="111">
        <f>COUNTIF(PresençasEmAgosto[[#This Row],[1]:[31]],Código2)</f>
        <v>0</v>
      </c>
      <c r="AK15" s="111">
        <f>COUNTIF(PresençasEmAgosto[[#This Row],[1]:[31]],Código3)</f>
        <v>0</v>
      </c>
      <c r="AL15" s="111">
        <f>COUNTIF(PresençasEmAgosto[[#This Row],[1]:[31]],Código4)</f>
        <v>0</v>
      </c>
    </row>
    <row r="16" spans="1:40" ht="16.5" customHeight="1" x14ac:dyDescent="0.25">
      <c r="B16">
        <v>13</v>
      </c>
      <c r="C16"/>
      <c r="AI16" s="10">
        <f>COUNTIF(PresençasEmAgosto[[#This Row],[1]:[31]],Código1)</f>
        <v>0</v>
      </c>
      <c r="AJ16" s="111">
        <f>COUNTIF(PresençasEmAgosto[[#This Row],[1]:[31]],Código2)</f>
        <v>0</v>
      </c>
      <c r="AK16" s="111">
        <f>COUNTIF(PresençasEmAgosto[[#This Row],[1]:[31]],Código3)</f>
        <v>0</v>
      </c>
      <c r="AL16" s="111">
        <f>COUNTIF(PresençasEmAgosto[[#This Row],[1]:[31]],Código4)</f>
        <v>0</v>
      </c>
    </row>
    <row r="17" spans="2:39" ht="16.5" customHeight="1" x14ac:dyDescent="0.25">
      <c r="B17">
        <v>16</v>
      </c>
      <c r="C17"/>
      <c r="AI17" s="10">
        <f>COUNTIF(PresençasEmAgosto[[#This Row],[1]:[31]],Código1)</f>
        <v>0</v>
      </c>
      <c r="AJ17" s="111">
        <f>COUNTIF(PresençasEmAgosto[[#This Row],[1]:[31]],Código2)</f>
        <v>0</v>
      </c>
      <c r="AK17" s="111">
        <f>COUNTIF(PresençasEmAgosto[[#This Row],[1]:[31]],Código3)</f>
        <v>0</v>
      </c>
      <c r="AL17" s="111">
        <f>COUNTIF(PresençasEmAgosto[[#This Row],[1]:[31]],Código4)</f>
        <v>0</v>
      </c>
    </row>
    <row r="18" spans="2:39" ht="16.5" customHeight="1" x14ac:dyDescent="0.25">
      <c r="B18">
        <v>17</v>
      </c>
      <c r="C18"/>
      <c r="AI18" s="10">
        <f>COUNTIF(PresençasEmAgosto[[#This Row],[1]:[31]],Código1)</f>
        <v>0</v>
      </c>
      <c r="AJ18" s="111">
        <f>COUNTIF(PresençasEmAgosto[[#This Row],[1]:[31]],Código2)</f>
        <v>0</v>
      </c>
      <c r="AK18" s="111">
        <f>COUNTIF(PresençasEmAgosto[[#This Row],[1]:[31]],Código3)</f>
        <v>0</v>
      </c>
      <c r="AL18" s="111">
        <f>COUNTIF(PresençasEmAgosto[[#This Row],[1]:[31]],Código4)</f>
        <v>0</v>
      </c>
    </row>
    <row r="19" spans="2:39" ht="16.5" customHeight="1" x14ac:dyDescent="0.25">
      <c r="B19" s="3"/>
      <c r="C19" s="4" t="s">
        <v>113</v>
      </c>
      <c r="D19" s="7">
        <f>COUNTIF(PresençasEmAgosto[1],"U")+COUNTIF(PresençasEmAgosto[1],"E")</f>
        <v>0</v>
      </c>
      <c r="E19" s="7">
        <f>COUNTIF(PresençasEmAgosto[2],"U")+COUNTIF(PresençasEmAgosto[2],"E")</f>
        <v>2</v>
      </c>
      <c r="F19" s="7">
        <f>COUNTIF(PresençasEmAgosto[3],"U")+COUNTIF(PresençasEmAgosto[3],"E")</f>
        <v>0</v>
      </c>
      <c r="G19" s="7">
        <f>COUNTIF(PresençasEmAgosto[4],"U")+COUNTIF(PresençasEmAgosto[4],"E")</f>
        <v>0</v>
      </c>
      <c r="H19" s="7">
        <f>COUNTIF(PresençasEmAgosto[5],"U")+COUNTIF(PresençasEmAgosto[5],"E")</f>
        <v>1</v>
      </c>
      <c r="I19" s="7">
        <f>COUNTIF(PresençasEmAgosto[6],"U")+COUNTIF(PresençasEmAgosto[6],"E")</f>
        <v>0</v>
      </c>
      <c r="J19" s="7">
        <f>COUNTIF(PresençasEmAgosto[7],"U")+COUNTIF(PresençasEmAgosto[7],"E")</f>
        <v>0</v>
      </c>
      <c r="K19" s="7">
        <f>COUNTIF(PresençasEmAgosto[8],"U")+COUNTIF(PresençasEmAgosto[8],"E")</f>
        <v>0</v>
      </c>
      <c r="L19" s="7">
        <f>COUNTIF(PresençasEmAgosto[9],"U")+COUNTIF(PresençasEmAgosto[9],"E")</f>
        <v>1</v>
      </c>
      <c r="M19" s="7">
        <f>COUNTIF(PresençasEmAgosto[10],"U")+COUNTIF(PresençasEmAgosto[10],"E")</f>
        <v>3</v>
      </c>
      <c r="N19" s="7">
        <f>COUNTIF(PresençasEmAgosto[11],"U")+COUNTIF(PresençasEmAgosto[11],"E")</f>
        <v>1</v>
      </c>
      <c r="O19" s="7">
        <f>COUNTIF(PresençasEmAgosto[12],"U")+COUNTIF(PresençasEmAgosto[12],"E")</f>
        <v>1</v>
      </c>
      <c r="P19" s="7">
        <f>COUNTIF(PresençasEmAgosto[13],"U")+COUNTIF(PresençasEmAgosto[13],"E")</f>
        <v>0</v>
      </c>
      <c r="Q19" s="7">
        <f>COUNTIF(PresençasEmAgosto[14],"U")+COUNTIF(PresençasEmAgosto[14],"E")</f>
        <v>0</v>
      </c>
      <c r="R19" s="7">
        <f>COUNTIF(PresençasEmAgosto[15],"U")+COUNTIF(PresençasEmAgosto[15],"E")</f>
        <v>0</v>
      </c>
      <c r="S19" s="7">
        <f>COUNTIF(PresençasEmAgosto[16],"U")+COUNTIF(PresençasEmAgosto[16],"E")</f>
        <v>0</v>
      </c>
      <c r="T19" s="7">
        <f>COUNTIF(PresençasEmAgosto[17],"U")+COUNTIF(PresençasEmAgosto[17],"E")</f>
        <v>0</v>
      </c>
      <c r="U19" s="7">
        <f>COUNTIF(PresençasEmAgosto[18],"U")+COUNTIF(PresençasEmAgosto[18],"E")</f>
        <v>0</v>
      </c>
      <c r="V19" s="7">
        <f>COUNTIF(PresençasEmAgosto[19],"U")+COUNTIF(PresençasEmAgosto[19],"E")</f>
        <v>0</v>
      </c>
      <c r="W19" s="7">
        <f>COUNTIF(PresençasEmAgosto[20],"U")+COUNTIF(PresençasEmAgosto[20],"E")</f>
        <v>0</v>
      </c>
      <c r="X19" s="7">
        <f>COUNTIF(PresençasEmAgosto[21],"U")+COUNTIF(PresençasEmAgosto[21],"E")</f>
        <v>0</v>
      </c>
      <c r="Y19" s="7">
        <f>COUNTIF(PresençasEmAgosto[22],"U")+COUNTIF(PresençasEmAgosto[22],"E")</f>
        <v>0</v>
      </c>
      <c r="Z19" s="7">
        <f>COUNTIF(PresençasEmAgosto[23],"U")+COUNTIF(PresençasEmAgosto[23],"E")</f>
        <v>1</v>
      </c>
      <c r="AA19" s="7">
        <f>COUNTIF(PresençasEmAgosto[24],"U")+COUNTIF(PresençasEmAgosto[24],"E")</f>
        <v>1</v>
      </c>
      <c r="AB19" s="7">
        <f>COUNTIF(PresençasEmAgosto[25],"U")+COUNTIF(PresençasEmAgosto[25],"E")</f>
        <v>1</v>
      </c>
      <c r="AC19" s="7">
        <f>COUNTIF(PresençasEmAgosto[26],"U")+COUNTIF(PresençasEmAgosto[26],"E")</f>
        <v>1</v>
      </c>
      <c r="AD19" s="7">
        <f>COUNTIF(PresençasEmAgosto[27],"U")+COUNTIF(PresençasEmAgosto[27],"E")</f>
        <v>0</v>
      </c>
      <c r="AE19" s="7">
        <f>COUNTIF(PresençasEmAgosto[28],"U")+COUNTIF(PresençasEmAgosto[28],"E")</f>
        <v>0</v>
      </c>
      <c r="AF19" s="7">
        <f>COUNTIF(PresençasEmAgosto[29],"U")+COUNTIF(PresençasEmAgosto[29],"E")</f>
        <v>0</v>
      </c>
      <c r="AG19" s="7">
        <f>COUNTIF(PresençasEmAgosto[30],"U")+COUNTIF(PresençasEmAgosto[30],"E")</f>
        <v>1</v>
      </c>
      <c r="AH19" s="7">
        <f>COUNTIF(PresençasEmAgosto[31],"U")+COUNTIF(PresençasEmAgosto[31],"E")</f>
        <v>0</v>
      </c>
      <c r="AI19" s="7">
        <f>SUBTOTAL(109,PresençasEmAgosto[T])</f>
        <v>6</v>
      </c>
      <c r="AJ19" s="7">
        <f>SUBTOTAL(109,PresençasEmAgosto[E])</f>
        <v>11</v>
      </c>
      <c r="AK19" s="7">
        <f>SUBTOTAL(109,PresençasEmAgosto[U])</f>
        <v>3</v>
      </c>
      <c r="AL19" s="7">
        <f>SUBTOTAL(109,PresençasEmAgosto[P])</f>
        <v>98</v>
      </c>
      <c r="AM19" s="7">
        <f>SUBTOTAL(109,PresençasEmAgosto[Dias de Ausência])</f>
        <v>13</v>
      </c>
    </row>
    <row r="20" spans="2:39" ht="16.5" customHeight="1" x14ac:dyDescent="0.25"/>
    <row r="21" spans="2:39" ht="16.5" customHeight="1" x14ac:dyDescent="0.25"/>
    <row r="22" spans="2:39" ht="16.5" customHeight="1" x14ac:dyDescent="0.25"/>
    <row r="23" spans="2:39" ht="16.5" customHeight="1" x14ac:dyDescent="0.25"/>
    <row r="24" spans="2:39" ht="16.5" customHeight="1" x14ac:dyDescent="0.25"/>
    <row r="25" spans="2:39" ht="16.5" customHeight="1" x14ac:dyDescent="0.25"/>
    <row r="26" spans="2:39" ht="16.5" customHeight="1" x14ac:dyDescent="0.25"/>
    <row r="27" spans="2:39" ht="16.5" customHeight="1" x14ac:dyDescent="0.25"/>
    <row r="28" spans="2:39" ht="16.5" customHeight="1" x14ac:dyDescent="0.25"/>
    <row r="29" spans="2:39" ht="16.5" customHeight="1" x14ac:dyDescent="0.25"/>
    <row r="30" spans="2:39" ht="16.5" customHeight="1" x14ac:dyDescent="0.25"/>
    <row r="31" spans="2:39" ht="16.5" customHeight="1" x14ac:dyDescent="0.25"/>
    <row r="32" spans="2:39"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6.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sheetData>
  <sheetProtection formatCells="0" formatColumns="0" formatRows="0" insertColumns="0" insertRows="0" insertHyperlinks="0" deleteColumns="0" deleteRows="0" sort="0" autoFilter="0" pivotTables="0"/>
  <mergeCells count="1">
    <mergeCell ref="AI5:AM5"/>
  </mergeCells>
  <conditionalFormatting sqref="D7:AI18">
    <cfRule type="expression" dxfId="887" priority="137" stopIfTrue="1">
      <formula>D7=Código2</formula>
    </cfRule>
  </conditionalFormatting>
  <conditionalFormatting sqref="D7:AH18">
    <cfRule type="expression" dxfId="886" priority="146" stopIfTrue="1">
      <formula>D7=Código5</formula>
    </cfRule>
    <cfRule type="expression" dxfId="885" priority="147" stopIfTrue="1">
      <formula>D7=Código4</formula>
    </cfRule>
    <cfRule type="expression" dxfId="884" priority="148" stopIfTrue="1">
      <formula>D7=Código3</formula>
    </cfRule>
    <cfRule type="expression" dxfId="883" priority="149" stopIfTrue="1">
      <formula>D7=Código1</formula>
    </cfRule>
  </conditionalFormatting>
  <conditionalFormatting sqref="AM7:AM18">
    <cfRule type="dataBar" priority="202">
      <dataBar>
        <cfvo type="min"/>
        <cfvo type="num" val="31"/>
        <color theme="4"/>
      </dataBar>
      <extLst>
        <ext xmlns:x14="http://schemas.microsoft.com/office/spreadsheetml/2009/9/main" uri="{B025F937-C7B1-47D3-B67F-A62EFF666E3E}">
          <x14:id>{ECCE2C3C-1B01-4700-B60E-DAAAB19A9C1A}</x14:id>
        </ext>
      </extLst>
    </cfRule>
  </conditionalFormatting>
  <dataValidations count="1">
    <dataValidation type="list" errorStyle="warning" allowBlank="1" showInputMessage="1" showErrorMessage="1" errorTitle="Ups!" error="O ID de Estudante que introduziu não está na folha da Lista de Estudantes. Pode clicar em Sim para usar os dados que introduziu, mas esse ID de Estudante não estará disponível na folha de Relatório de Presenças de Estudantes." sqref="B7:B18" xr:uid="{00000000-0002-0000-0200-000000000000}">
      <formula1>IDDeAluno</formula1>
    </dataValidation>
  </dataValidations>
  <printOptions horizontalCentered="1"/>
  <pageMargins left="0.5" right="0.5" top="0.75" bottom="0.75" header="0.3" footer="0.3"/>
  <pageSetup paperSize="9" scale="58" fitToHeight="0" orientation="landscape"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Spinner 1">
              <controlPr defaultSize="0" print="0" autoPict="0" altText="Calendar Year Spinner. Click the spinner to change the school calendar year or type the year in cell AM.">
                <anchor moveWithCells="1" sizeWithCells="1">
                  <from>
                    <xdr:col>39</xdr:col>
                    <xdr:colOff>38100</xdr:colOff>
                    <xdr:row>0</xdr:row>
                    <xdr:rowOff>104775</xdr:rowOff>
                  </from>
                  <to>
                    <xdr:col>39</xdr:col>
                    <xdr:colOff>209550</xdr:colOff>
                    <xdr:row>0</xdr:row>
                    <xdr:rowOff>419100</xdr:rowOff>
                  </to>
                </anchor>
              </controlPr>
            </control>
          </mc:Choice>
        </mc:AlternateContent>
        <mc:AlternateContent xmlns:mc="http://schemas.openxmlformats.org/markup-compatibility/2006">
          <mc:Choice Requires="x14">
            <control shapeId="2050" r:id="rId5" name="Controlo Giratório 1">
              <controlPr defaultSize="0" print="0" autoPict="0" altText="Calendar Year Spinner. Click the spinner to change the school calendar year or type the year in cell AM.">
                <anchor moveWithCells="1" sizeWithCells="1">
                  <from>
                    <xdr:col>39</xdr:col>
                    <xdr:colOff>38100</xdr:colOff>
                    <xdr:row>0</xdr:row>
                    <xdr:rowOff>104775</xdr:rowOff>
                  </from>
                  <to>
                    <xdr:col>39</xdr:col>
                    <xdr:colOff>209550</xdr:colOff>
                    <xdr:row>0</xdr:row>
                    <xdr:rowOff>419100</xdr:rowOff>
                  </to>
                </anchor>
              </controlPr>
            </control>
          </mc:Choice>
        </mc:AlternateContent>
      </controls>
    </mc:Choice>
  </mc:AlternateContent>
  <tableParts count="1">
    <tablePart r:id="rId6"/>
  </tableParts>
  <extLst>
    <ext xmlns:x14="http://schemas.microsoft.com/office/spreadsheetml/2009/9/main" uri="{78C0D931-6437-407d-A8EE-F0AAD7539E65}">
      <x14:conditionalFormattings>
        <x14:conditionalFormatting xmlns:xm="http://schemas.microsoft.com/office/excel/2006/main">
          <x14:cfRule type="dataBar" id="{ECCE2C3C-1B01-4700-B60E-DAAAB19A9C1A}">
            <x14:dataBar minLength="0" maxLength="100" border="1" negativeBarBorderColorSameAsPositive="0">
              <x14:cfvo type="autoMin"/>
              <x14:cfvo type="num">
                <xm:f>31</xm:f>
              </x14:cfvo>
              <x14:borderColor theme="4"/>
              <x14:negativeFillColor rgb="FFFF0000"/>
              <x14:negativeBorderColor rgb="FFFF0000"/>
              <x14:axisColor rgb="FF000000"/>
            </x14:dataBar>
          </x14:cfRule>
          <xm:sqref>AM7:AM18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pageSetUpPr fitToPage="1"/>
  </sheetPr>
  <dimension ref="A1:AN346"/>
  <sheetViews>
    <sheetView showGridLines="0" zoomScaleNormal="100" workbookViewId="0">
      <pane xSplit="3" ySplit="6" topLeftCell="D7" activePane="bottomRight" state="frozen"/>
      <selection pane="topRight"/>
      <selection pane="bottomLeft"/>
      <selection pane="bottomRight"/>
    </sheetView>
  </sheetViews>
  <sheetFormatPr defaultRowHeight="15" customHeight="1" x14ac:dyDescent="0.25"/>
  <cols>
    <col min="1" max="1" width="2.7109375" style="11" customWidth="1"/>
    <col min="2" max="2" width="15.7109375" style="11" bestFit="1" customWidth="1"/>
    <col min="3" max="3" width="28.85546875" style="12" customWidth="1"/>
    <col min="4" max="34" width="5" style="10" customWidth="1"/>
    <col min="35" max="35" width="4.7109375" style="9" customWidth="1"/>
    <col min="36" max="36" width="4.7109375" style="10" customWidth="1"/>
    <col min="37" max="38" width="4.7109375" style="11" customWidth="1"/>
    <col min="39" max="39" width="16.85546875" style="11" bestFit="1" customWidth="1"/>
    <col min="40" max="16384" width="9.140625" style="11"/>
  </cols>
  <sheetData>
    <row r="1" spans="1:40" s="1" customFormat="1" ht="42" customHeight="1" x14ac:dyDescent="0.25">
      <c r="A1" s="38" t="s">
        <v>88</v>
      </c>
      <c r="B1" s="39"/>
      <c r="C1" s="39"/>
      <c r="D1" s="40"/>
      <c r="E1" s="40"/>
      <c r="F1" s="40"/>
      <c r="G1" s="40"/>
      <c r="H1" s="40"/>
      <c r="I1" s="40"/>
      <c r="J1" s="40"/>
      <c r="K1" s="40"/>
      <c r="L1" s="40"/>
      <c r="M1" s="40"/>
      <c r="N1" s="40"/>
      <c r="O1" s="40"/>
      <c r="P1" s="40"/>
      <c r="Q1" s="40"/>
      <c r="R1" s="40"/>
      <c r="S1" s="40"/>
      <c r="T1" s="40"/>
      <c r="U1" s="40"/>
      <c r="V1" s="40"/>
      <c r="W1" s="40"/>
      <c r="X1" s="40"/>
      <c r="Y1" s="40"/>
      <c r="Z1" s="40"/>
      <c r="AA1" s="40"/>
      <c r="AB1" s="40"/>
      <c r="AC1" s="39"/>
      <c r="AD1" s="39"/>
      <c r="AE1" s="39"/>
      <c r="AF1" s="39"/>
      <c r="AG1" s="41"/>
      <c r="AH1" s="39"/>
      <c r="AI1" s="39"/>
      <c r="AJ1" s="42"/>
      <c r="AK1" s="39"/>
      <c r="AL1" s="55" t="s">
        <v>71</v>
      </c>
      <c r="AM1" s="56">
        <f>CalendárioAnual</f>
        <v>2018</v>
      </c>
    </row>
    <row r="2" spans="1:40" customFormat="1" ht="13.5" x14ac:dyDescent="0.25"/>
    <row r="3" spans="1:40" s="30" customFormat="1" ht="12.75" customHeight="1" x14ac:dyDescent="0.25">
      <c r="C3" s="45" t="str">
        <f>TextoColorKey</f>
        <v xml:space="preserve">CHAVE DE CORES </v>
      </c>
      <c r="D3" s="49" t="str">
        <f>Código1</f>
        <v>T</v>
      </c>
      <c r="E3" s="64" t="str">
        <f>Código1Texto</f>
        <v>Atrasado</v>
      </c>
      <c r="F3" s="54"/>
      <c r="H3" s="50" t="str">
        <f>Código2</f>
        <v>E</v>
      </c>
      <c r="I3" s="54" t="str">
        <f>Código2Texto</f>
        <v>Justificado</v>
      </c>
      <c r="L3" s="51" t="str">
        <f>Código3</f>
        <v>U</v>
      </c>
      <c r="M3" s="54" t="str">
        <f>Código3Texto</f>
        <v>Não justificado</v>
      </c>
      <c r="P3" s="52" t="str">
        <f>Código4</f>
        <v>P</v>
      </c>
      <c r="Q3" s="54" t="str">
        <f>Código4Texto</f>
        <v>Presente</v>
      </c>
      <c r="T3" s="53" t="str">
        <f>Código5</f>
        <v>N</v>
      </c>
      <c r="U3" s="54" t="str">
        <f>Código5Texto</f>
        <v>Não há Escola</v>
      </c>
      <c r="W3"/>
      <c r="X3"/>
      <c r="Y3"/>
      <c r="AD3" s="29"/>
      <c r="AE3" s="29"/>
      <c r="AH3" s="31"/>
      <c r="AI3" s="32"/>
      <c r="AK3" s="33"/>
    </row>
    <row r="4" spans="1:40" customFormat="1" ht="16.5" customHeight="1" x14ac:dyDescent="0.25"/>
    <row r="5" spans="1:40" s="2" customFormat="1" ht="18" customHeight="1" x14ac:dyDescent="0.3">
      <c r="B5" s="58">
        <f>DATE(CalendárioAnual,9,1)</f>
        <v>43344</v>
      </c>
      <c r="C5" s="57"/>
      <c r="D5" s="43" t="str">
        <f>TEXT(WEEKDAY(DATE(CalendárioAnual,9,1),1),"ddd")</f>
        <v>sáb</v>
      </c>
      <c r="E5" s="43" t="str">
        <f>TEXT(WEEKDAY(DATE(CalendárioAnual,9,2),1),"ddd")</f>
        <v>dom</v>
      </c>
      <c r="F5" s="43" t="str">
        <f>TEXT(WEEKDAY(DATE(CalendárioAnual,9,3),1),"ddd")</f>
        <v>seg</v>
      </c>
      <c r="G5" s="43" t="str">
        <f>TEXT(WEEKDAY(DATE(CalendárioAnual,9,4),1),"ddd")</f>
        <v>ter</v>
      </c>
      <c r="H5" s="43" t="str">
        <f>TEXT(WEEKDAY(DATE(CalendárioAnual,9,5),1),"ddd")</f>
        <v>qua</v>
      </c>
      <c r="I5" s="43" t="str">
        <f>TEXT(WEEKDAY(DATE(CalendárioAnual,9,6),1),"ddd")</f>
        <v>qui</v>
      </c>
      <c r="J5" s="43" t="str">
        <f>TEXT(WEEKDAY(DATE(CalendárioAnual,9,7),1),"ddd")</f>
        <v>sex</v>
      </c>
      <c r="K5" s="43" t="str">
        <f>TEXT(WEEKDAY(DATE(CalendárioAnual,9,8),1),"ddd")</f>
        <v>sáb</v>
      </c>
      <c r="L5" s="43" t="str">
        <f>TEXT(WEEKDAY(DATE(CalendárioAnual,9,9),1),"ddd")</f>
        <v>dom</v>
      </c>
      <c r="M5" s="43" t="str">
        <f>TEXT(WEEKDAY(DATE(CalendárioAnual,9,10),1),"ddd")</f>
        <v>seg</v>
      </c>
      <c r="N5" s="43" t="str">
        <f>TEXT(WEEKDAY(DATE(CalendárioAnual,9,11),1),"ddd")</f>
        <v>ter</v>
      </c>
      <c r="O5" s="43" t="str">
        <f>TEXT(WEEKDAY(DATE(CalendárioAnual,9,12),1),"ddd")</f>
        <v>qua</v>
      </c>
      <c r="P5" s="43" t="str">
        <f>TEXT(WEEKDAY(DATE(CalendárioAnual,9,13),1),"ddd")</f>
        <v>qui</v>
      </c>
      <c r="Q5" s="43" t="str">
        <f>TEXT(WEEKDAY(DATE(CalendárioAnual,9,14),1),"ddd")</f>
        <v>sex</v>
      </c>
      <c r="R5" s="43" t="str">
        <f>TEXT(WEEKDAY(DATE(CalendárioAnual,9,15),1),"ddd")</f>
        <v>sáb</v>
      </c>
      <c r="S5" s="43" t="str">
        <f>TEXT(WEEKDAY(DATE(CalendárioAnual,9,16),1),"ddd")</f>
        <v>dom</v>
      </c>
      <c r="T5" s="43" t="str">
        <f>TEXT(WEEKDAY(DATE(CalendárioAnual,9,17),1),"ddd")</f>
        <v>seg</v>
      </c>
      <c r="U5" s="43" t="str">
        <f>TEXT(WEEKDAY(DATE(CalendárioAnual,9,18),1),"ddd")</f>
        <v>ter</v>
      </c>
      <c r="V5" s="43" t="str">
        <f>TEXT(WEEKDAY(DATE(CalendárioAnual,9,19),1),"ddd")</f>
        <v>qua</v>
      </c>
      <c r="W5" s="43" t="str">
        <f>TEXT(WEEKDAY(DATE(CalendárioAnual,9,20),1),"ddd")</f>
        <v>qui</v>
      </c>
      <c r="X5" s="43" t="str">
        <f>TEXT(WEEKDAY(DATE(CalendárioAnual,9,21),1),"ddd")</f>
        <v>sex</v>
      </c>
      <c r="Y5" s="43" t="str">
        <f>TEXT(WEEKDAY(DATE(CalendárioAnual,9,22),1),"ddd")</f>
        <v>sáb</v>
      </c>
      <c r="Z5" s="43" t="str">
        <f>TEXT(WEEKDAY(DATE(CalendárioAnual,9,23),1),"ddd")</f>
        <v>dom</v>
      </c>
      <c r="AA5" s="43" t="str">
        <f>TEXT(WEEKDAY(DATE(CalendárioAnual,9,24),1),"ddd")</f>
        <v>seg</v>
      </c>
      <c r="AB5" s="43" t="str">
        <f>TEXT(WEEKDAY(DATE(CalendárioAnual,9,25),1),"ddd")</f>
        <v>ter</v>
      </c>
      <c r="AC5" s="43" t="str">
        <f>TEXT(WEEKDAY(DATE(CalendárioAnual,9,26),1),"ddd")</f>
        <v>qua</v>
      </c>
      <c r="AD5" s="43" t="str">
        <f>TEXT(WEEKDAY(DATE(CalendárioAnual,9,27),1),"ddd")</f>
        <v>qui</v>
      </c>
      <c r="AE5" s="43" t="str">
        <f>TEXT(WEEKDAY(DATE(CalendárioAnual,9,28),1),"ddd")</f>
        <v>sex</v>
      </c>
      <c r="AF5" s="43" t="str">
        <f>TEXT(WEEKDAY(DATE(CalendárioAnual,9,29),1),"ddd")</f>
        <v>sáb</v>
      </c>
      <c r="AG5" s="43" t="str">
        <f>TEXT(WEEKDAY(DATE(CalendárioAnual,9,30),1),"ddd")</f>
        <v>dom</v>
      </c>
      <c r="AH5" s="43"/>
      <c r="AI5" s="116" t="s">
        <v>40</v>
      </c>
      <c r="AJ5" s="117"/>
      <c r="AK5" s="117"/>
      <c r="AL5" s="117"/>
      <c r="AM5" s="118"/>
    </row>
    <row r="6" spans="1:40" s="6" customFormat="1" ht="14.25" customHeight="1" x14ac:dyDescent="0.25">
      <c r="B6" s="29" t="s">
        <v>34</v>
      </c>
      <c r="C6" s="46" t="s">
        <v>35</v>
      </c>
      <c r="D6" s="3" t="s">
        <v>0</v>
      </c>
      <c r="E6" s="3" t="s">
        <v>1</v>
      </c>
      <c r="F6" s="3" t="s">
        <v>2</v>
      </c>
      <c r="G6" s="3" t="s">
        <v>3</v>
      </c>
      <c r="H6" s="3" t="s">
        <v>4</v>
      </c>
      <c r="I6" s="3" t="s">
        <v>5</v>
      </c>
      <c r="J6" s="3" t="s">
        <v>6</v>
      </c>
      <c r="K6" s="3" t="s">
        <v>7</v>
      </c>
      <c r="L6" s="3" t="s">
        <v>8</v>
      </c>
      <c r="M6" s="3" t="s">
        <v>9</v>
      </c>
      <c r="N6" s="3" t="s">
        <v>10</v>
      </c>
      <c r="O6" s="3" t="s">
        <v>11</v>
      </c>
      <c r="P6" s="3" t="s">
        <v>12</v>
      </c>
      <c r="Q6" s="3" t="s">
        <v>13</v>
      </c>
      <c r="R6" s="3" t="s">
        <v>14</v>
      </c>
      <c r="S6" s="3" t="s">
        <v>15</v>
      </c>
      <c r="T6" s="3" t="s">
        <v>16</v>
      </c>
      <c r="U6" s="3" t="s">
        <v>17</v>
      </c>
      <c r="V6" s="3" t="s">
        <v>18</v>
      </c>
      <c r="W6" s="3" t="s">
        <v>19</v>
      </c>
      <c r="X6" s="3" t="s">
        <v>20</v>
      </c>
      <c r="Y6" s="3" t="s">
        <v>21</v>
      </c>
      <c r="Z6" s="3" t="s">
        <v>22</v>
      </c>
      <c r="AA6" s="3" t="s">
        <v>23</v>
      </c>
      <c r="AB6" s="3" t="s">
        <v>24</v>
      </c>
      <c r="AC6" s="3" t="s">
        <v>25</v>
      </c>
      <c r="AD6" s="3" t="s">
        <v>26</v>
      </c>
      <c r="AE6" s="3" t="s">
        <v>27</v>
      </c>
      <c r="AF6" s="3" t="s">
        <v>28</v>
      </c>
      <c r="AG6" s="3" t="s">
        <v>29</v>
      </c>
      <c r="AH6" s="3" t="s">
        <v>112</v>
      </c>
      <c r="AI6" s="88" t="s">
        <v>36</v>
      </c>
      <c r="AJ6" s="65" t="s">
        <v>38</v>
      </c>
      <c r="AK6" s="66" t="s">
        <v>37</v>
      </c>
      <c r="AL6" s="67" t="s">
        <v>31</v>
      </c>
      <c r="AM6" s="48" t="s">
        <v>39</v>
      </c>
      <c r="AN6" s="5"/>
    </row>
    <row r="7" spans="1:40" s="6" customFormat="1" ht="16.5" customHeight="1" x14ac:dyDescent="0.25">
      <c r="B7" s="25"/>
      <c r="C7" s="47" t="str">
        <f>IFERROR(VLOOKUP(PresençasEmSetembro[[#This Row],[ID de Estudante]],ListaDeAlunos[],18,FALSE),"")</f>
        <v/>
      </c>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4"/>
      <c r="AG7" s="22"/>
      <c r="AH7" s="22"/>
      <c r="AI7" s="7">
        <f>COUNTIF(PresençasEmSetembro[[#This Row],[1]:[ ]],Código1)</f>
        <v>0</v>
      </c>
      <c r="AJ7" s="35">
        <f>COUNTIF(PresençasEmSetembro[[#This Row],[1]:[ ]],Código2)</f>
        <v>0</v>
      </c>
      <c r="AK7" s="35">
        <f>COUNTIF(PresençasEmSetembro[[#This Row],[1]:[ ]],Código3)</f>
        <v>0</v>
      </c>
      <c r="AL7" s="35">
        <f>COUNTIF(PresençasEmSetembro[[#This Row],[1]:[ ]],Código4)</f>
        <v>0</v>
      </c>
      <c r="AM7" s="7">
        <f>SUM(PresençasEmSetembro[[#This Row],[E]:[U]])</f>
        <v>0</v>
      </c>
      <c r="AN7" s="5"/>
    </row>
    <row r="8" spans="1:40" s="6" customFormat="1" ht="16.5" customHeight="1" x14ac:dyDescent="0.25">
      <c r="B8" s="25"/>
      <c r="C8" s="19" t="str">
        <f>IFERROR(VLOOKUP(PresençasEmSetembro[[#This Row],[ID de Estudante]],ListaDeAlunos[],18,FALSE),"")</f>
        <v/>
      </c>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4"/>
      <c r="AG8" s="22"/>
      <c r="AH8" s="22"/>
      <c r="AI8" s="7">
        <f>COUNTIF(PresençasEmSetembro[[#This Row],[1]:[ ]],Código1)</f>
        <v>0</v>
      </c>
      <c r="AJ8" s="35">
        <f>COUNTIF(PresençasEmSetembro[[#This Row],[1]:[ ]],Código2)</f>
        <v>0</v>
      </c>
      <c r="AK8" s="35">
        <f>COUNTIF(PresençasEmSetembro[[#This Row],[1]:[ ]],Código3)</f>
        <v>0</v>
      </c>
      <c r="AL8" s="35">
        <f>COUNTIF(PresençasEmSetembro[[#This Row],[1]:[ ]],Código4)</f>
        <v>0</v>
      </c>
      <c r="AM8" s="7">
        <f>SUM(PresençasEmSetembro[[#This Row],[E]:[U]])</f>
        <v>0</v>
      </c>
      <c r="AN8" s="5"/>
    </row>
    <row r="9" spans="1:40" s="1" customFormat="1" ht="16.5" customHeight="1" x14ac:dyDescent="0.25">
      <c r="B9" s="25"/>
      <c r="C9" s="19" t="str">
        <f>IFERROR(VLOOKUP(PresençasEmSetembro[[#This Row],[ID de Estudante]],ListaDeAlunos[],18,FALSE),"")</f>
        <v/>
      </c>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4"/>
      <c r="AG9" s="22"/>
      <c r="AH9" s="22"/>
      <c r="AI9" s="7">
        <f>COUNTIF(PresençasEmSetembro[[#This Row],[1]:[ ]],Código1)</f>
        <v>0</v>
      </c>
      <c r="AJ9" s="35">
        <f>COUNTIF(PresençasEmSetembro[[#This Row],[1]:[ ]],Código2)</f>
        <v>0</v>
      </c>
      <c r="AK9" s="35">
        <f>COUNTIF(PresençasEmSetembro[[#This Row],[1]:[ ]],Código3)</f>
        <v>0</v>
      </c>
      <c r="AL9" s="35">
        <f>COUNTIF(PresençasEmSetembro[[#This Row],[1]:[ ]],Código4)</f>
        <v>0</v>
      </c>
      <c r="AM9" s="7">
        <f>SUM(PresençasEmSetembro[[#This Row],[E]:[U]])</f>
        <v>0</v>
      </c>
      <c r="AN9" s="8"/>
    </row>
    <row r="10" spans="1:40" ht="16.5" customHeight="1" x14ac:dyDescent="0.25">
      <c r="B10" s="25"/>
      <c r="C10" s="19" t="str">
        <f>IFERROR(VLOOKUP(PresençasEmSetembro[[#This Row],[ID de Estudante]],ListaDeAlunos[],18,FALSE),"")</f>
        <v/>
      </c>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4"/>
      <c r="AG10" s="22"/>
      <c r="AH10" s="22"/>
      <c r="AI10" s="7">
        <f>COUNTIF(PresençasEmSetembro[[#This Row],[1]:[ ]],Código1)</f>
        <v>0</v>
      </c>
      <c r="AJ10" s="35">
        <f>COUNTIF(PresençasEmSetembro[[#This Row],[1]:[ ]],Código2)</f>
        <v>0</v>
      </c>
      <c r="AK10" s="35">
        <f>COUNTIF(PresençasEmSetembro[[#This Row],[1]:[ ]],Código3)</f>
        <v>0</v>
      </c>
      <c r="AL10" s="35">
        <f>COUNTIF(PresençasEmSetembro[[#This Row],[1]:[ ]],Código4)</f>
        <v>0</v>
      </c>
      <c r="AM10" s="7">
        <f>SUM(PresençasEmSetembro[[#This Row],[E]:[U]])</f>
        <v>0</v>
      </c>
      <c r="AN10" s="10"/>
    </row>
    <row r="11" spans="1:40" ht="16.5" customHeight="1" x14ac:dyDescent="0.25">
      <c r="B11" s="25"/>
      <c r="C11" s="19" t="str">
        <f>IFERROR(VLOOKUP(PresençasEmSetembro[[#This Row],[ID de Estudante]],ListaDeAlunos[],18,FALSE),"")</f>
        <v/>
      </c>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4"/>
      <c r="AG11" s="22"/>
      <c r="AH11" s="22"/>
      <c r="AI11" s="7">
        <f>COUNTIF(PresençasEmSetembro[[#This Row],[1]:[ ]],Código1)</f>
        <v>0</v>
      </c>
      <c r="AJ11" s="35">
        <f>COUNTIF(PresençasEmSetembro[[#This Row],[1]:[ ]],Código2)</f>
        <v>0</v>
      </c>
      <c r="AK11" s="35">
        <f>COUNTIF(PresençasEmSetembro[[#This Row],[1]:[ ]],Código3)</f>
        <v>0</v>
      </c>
      <c r="AL11" s="35">
        <f>COUNTIF(PresençasEmSetembro[[#This Row],[1]:[ ]],Código4)</f>
        <v>0</v>
      </c>
      <c r="AM11" s="7">
        <f>SUM(PresençasEmSetembro[[#This Row],[E]:[U]])</f>
        <v>0</v>
      </c>
      <c r="AN11" s="10"/>
    </row>
    <row r="12" spans="1:40" ht="16.5" customHeight="1" x14ac:dyDescent="0.25">
      <c r="B12" s="106"/>
      <c r="C12" s="107" t="s">
        <v>113</v>
      </c>
      <c r="D12" s="108">
        <f>COUNTIF(PresençasEmSetembro[1],"U")+COUNTIF(PresençasEmSetembro[1],"E")</f>
        <v>0</v>
      </c>
      <c r="E12" s="108">
        <f>COUNTIF(PresençasEmSetembro[2],"U")+COUNTIF(PresençasEmSetembro[2],"E")</f>
        <v>0</v>
      </c>
      <c r="F12" s="108">
        <f>COUNTIF(PresençasEmSetembro[3],"U")+COUNTIF(PresençasEmSetembro[3],"E")</f>
        <v>0</v>
      </c>
      <c r="G12" s="108">
        <f>COUNTIF(PresençasEmSetembro[4],"U")+COUNTIF(PresençasEmSetembro[4],"E")</f>
        <v>0</v>
      </c>
      <c r="H12" s="108">
        <f>COUNTIF(PresençasEmSetembro[5],"U")+COUNTIF(PresençasEmSetembro[5],"E")</f>
        <v>0</v>
      </c>
      <c r="I12" s="108">
        <f>COUNTIF(PresençasEmSetembro[6],"U")+COUNTIF(PresençasEmSetembro[6],"E")</f>
        <v>0</v>
      </c>
      <c r="J12" s="108">
        <f>COUNTIF(PresençasEmSetembro[7],"U")+COUNTIF(PresençasEmSetembro[7],"E")</f>
        <v>0</v>
      </c>
      <c r="K12" s="108">
        <f>COUNTIF(PresençasEmSetembro[8],"U")+COUNTIF(PresençasEmSetembro[8],"E")</f>
        <v>0</v>
      </c>
      <c r="L12" s="108">
        <f>COUNTIF(PresençasEmSetembro[9],"U")+COUNTIF(PresençasEmSetembro[9],"E")</f>
        <v>0</v>
      </c>
      <c r="M12" s="108">
        <f>COUNTIF(PresençasEmSetembro[10],"U")+COUNTIF(PresençasEmSetembro[10],"E")</f>
        <v>0</v>
      </c>
      <c r="N12" s="108">
        <f>COUNTIF(PresençasEmSetembro[11],"U")+COUNTIF(PresençasEmSetembro[11],"E")</f>
        <v>0</v>
      </c>
      <c r="O12" s="108">
        <f>COUNTIF(PresençasEmSetembro[12],"U")+COUNTIF(PresençasEmSetembro[12],"E")</f>
        <v>0</v>
      </c>
      <c r="P12" s="108">
        <f>COUNTIF(PresençasEmSetembro[13],"U")+COUNTIF(PresençasEmSetembro[13],"E")</f>
        <v>0</v>
      </c>
      <c r="Q12" s="108">
        <f>COUNTIF(PresençasEmSetembro[14],"U")+COUNTIF(PresençasEmSetembro[14],"E")</f>
        <v>0</v>
      </c>
      <c r="R12" s="108">
        <f>COUNTIF(PresençasEmSetembro[15],"U")+COUNTIF(PresençasEmSetembro[15],"E")</f>
        <v>0</v>
      </c>
      <c r="S12" s="108">
        <f>COUNTIF(PresençasEmSetembro[16],"U")+COUNTIF(PresençasEmSetembro[16],"E")</f>
        <v>0</v>
      </c>
      <c r="T12" s="108">
        <f>COUNTIF(PresençasEmSetembro[17],"U")+COUNTIF(PresençasEmSetembro[17],"E")</f>
        <v>0</v>
      </c>
      <c r="U12" s="108">
        <f>COUNTIF(PresençasEmSetembro[18],"U")+COUNTIF(PresençasEmSetembro[18],"E")</f>
        <v>0</v>
      </c>
      <c r="V12" s="108">
        <f>COUNTIF(PresençasEmSetembro[19],"U")+COUNTIF(PresençasEmSetembro[19],"E")</f>
        <v>0</v>
      </c>
      <c r="W12" s="108">
        <f>COUNTIF(PresençasEmSetembro[20],"U")+COUNTIF(PresençasEmSetembro[20],"E")</f>
        <v>0</v>
      </c>
      <c r="X12" s="108">
        <f>COUNTIF(PresençasEmSetembro[21],"U")+COUNTIF(PresençasEmSetembro[21],"E")</f>
        <v>0</v>
      </c>
      <c r="Y12" s="108">
        <f>COUNTIF(PresençasEmSetembro[22],"U")+COUNTIF(PresençasEmSetembro[22],"E")</f>
        <v>0</v>
      </c>
      <c r="Z12" s="108">
        <f>COUNTIF(PresençasEmSetembro[23],"U")+COUNTIF(PresençasEmSetembro[23],"E")</f>
        <v>0</v>
      </c>
      <c r="AA12" s="108">
        <f>COUNTIF(PresençasEmSetembro[24],"U")+COUNTIF(PresençasEmSetembro[24],"E")</f>
        <v>0</v>
      </c>
      <c r="AB12" s="108">
        <f>COUNTIF(PresençasEmSetembro[25],"U")+COUNTIF(PresençasEmSetembro[25],"E")</f>
        <v>0</v>
      </c>
      <c r="AC12" s="108">
        <f>COUNTIF(PresençasEmSetembro[26],"U")+COUNTIF(PresençasEmSetembro[26],"E")</f>
        <v>0</v>
      </c>
      <c r="AD12" s="108">
        <f>COUNTIF(PresençasEmSetembro[27],"U")+COUNTIF(PresençasEmSetembro[27],"E")</f>
        <v>0</v>
      </c>
      <c r="AE12" s="108">
        <f>COUNTIF(PresençasEmSetembro[28],"U")+COUNTIF(PresençasEmSetembro[28],"E")</f>
        <v>0</v>
      </c>
      <c r="AF12" s="108">
        <f>COUNTIF(PresençasEmSetembro[29],"U")+COUNTIF(PresençasEmSetembro[29],"E")</f>
        <v>0</v>
      </c>
      <c r="AG12" s="108">
        <f>COUNTIF(PresençasEmSetembro[30],"U")+COUNTIF(PresençasEmSetembro[30],"E")</f>
        <v>0</v>
      </c>
      <c r="AH12" s="108">
        <f>COUNTIF(PresençasEmSetembro[[ ]],"U")+COUNTIF(PresençasEmSetembro[[ ]],"E")</f>
        <v>0</v>
      </c>
      <c r="AI12" s="108">
        <f>SUBTOTAL(109,PresençasEmSetembro[T])</f>
        <v>0</v>
      </c>
      <c r="AJ12" s="108">
        <f>SUBTOTAL(109,PresençasEmSetembro[E])</f>
        <v>0</v>
      </c>
      <c r="AK12" s="108">
        <f>SUBTOTAL(109,PresençasEmSetembro[P])</f>
        <v>0</v>
      </c>
      <c r="AL12" s="108">
        <f>SUBTOTAL(109,PresençasEmSetembro[P])</f>
        <v>0</v>
      </c>
      <c r="AM12" s="108">
        <f>SUBTOTAL(109,PresençasEmSetembro[Dias de Ausência])</f>
        <v>0</v>
      </c>
    </row>
    <row r="13" spans="1:40" ht="16.5" customHeight="1" x14ac:dyDescent="0.25"/>
    <row r="14" spans="1:40" ht="16.5" customHeight="1" x14ac:dyDescent="0.25"/>
    <row r="15" spans="1:40" ht="16.5" customHeight="1" x14ac:dyDescent="0.25"/>
    <row r="16" spans="1:40"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6.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sheetData>
  <sheetProtection formatCells="0" formatColumns="0" formatRows="0" insertColumns="0" insertRows="0" insertHyperlinks="0" deleteColumns="0" deleteRows="0" sort="0" autoFilter="0" pivotTables="0"/>
  <mergeCells count="1">
    <mergeCell ref="AI5:AM5"/>
  </mergeCells>
  <conditionalFormatting sqref="AM7:AM11">
    <cfRule type="dataBar" priority="6">
      <dataBar>
        <cfvo type="min"/>
        <cfvo type="num" val="31"/>
        <color theme="4"/>
      </dataBar>
      <extLst>
        <ext xmlns:x14="http://schemas.microsoft.com/office/spreadsheetml/2009/9/main" uri="{B025F937-C7B1-47D3-B67F-A62EFF666E3E}">
          <x14:id>{FCDE13DD-578E-4A81-A4F7-3A892C41EF0D}</x14:id>
        </ext>
      </extLst>
    </cfRule>
  </conditionalFormatting>
  <conditionalFormatting sqref="AG7:AI11">
    <cfRule type="expression" dxfId="875" priority="7" stopIfTrue="1">
      <formula>AG7=Código2</formula>
    </cfRule>
  </conditionalFormatting>
  <conditionalFormatting sqref="AG7:AH11">
    <cfRule type="expression" dxfId="874" priority="8" stopIfTrue="1">
      <formula>AG7=Código5</formula>
    </cfRule>
    <cfRule type="expression" dxfId="873" priority="9" stopIfTrue="1">
      <formula>AG7=Código4</formula>
    </cfRule>
    <cfRule type="expression" dxfId="872" priority="10" stopIfTrue="1">
      <formula>AG7=Código3</formula>
    </cfRule>
    <cfRule type="expression" dxfId="871" priority="11" stopIfTrue="1">
      <formula>AG7=Código1</formula>
    </cfRule>
  </conditionalFormatting>
  <conditionalFormatting sqref="D7:AF11">
    <cfRule type="expression" dxfId="870" priority="1" stopIfTrue="1">
      <formula>D7=Código2</formula>
    </cfRule>
  </conditionalFormatting>
  <conditionalFormatting sqref="D7:AF11">
    <cfRule type="expression" dxfId="869" priority="2" stopIfTrue="1">
      <formula>D7=Código5</formula>
    </cfRule>
    <cfRule type="expression" dxfId="868" priority="3" stopIfTrue="1">
      <formula>D7=Código4</formula>
    </cfRule>
    <cfRule type="expression" dxfId="867" priority="4" stopIfTrue="1">
      <formula>D7=Código3</formula>
    </cfRule>
    <cfRule type="expression" dxfId="866" priority="5" stopIfTrue="1">
      <formula>D7=Código1</formula>
    </cfRule>
  </conditionalFormatting>
  <dataValidations disablePrompts="1" count="1">
    <dataValidation type="list" errorStyle="warning" allowBlank="1" showInputMessage="1" showErrorMessage="1" errorTitle="Ups!" error="O ID de Estudante que introduziu não está na folha da Lista de Estudantes. Pode clicar em Sim para usar os dados que introduziu, mas esse ID de Estudante não estará disponível na folha de Relatório de Presenças de Estudantes." sqref="B7:B11" xr:uid="{00000000-0002-0000-0300-000000000000}">
      <formula1>IDDeAluno</formula1>
    </dataValidation>
  </dataValidations>
  <printOptions horizontalCentered="1"/>
  <pageMargins left="0.5" right="0.5" top="0.75" bottom="0.75" header="0.3" footer="0.3"/>
  <pageSetup paperSize="9" scale="58" fitToHeight="0" orientation="landscape" verticalDpi="12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CDE13DD-578E-4A81-A4F7-3A892C41EF0D}">
            <x14:dataBar minLength="0" maxLength="100" border="1" negativeBarBorderColorSameAsPositive="0">
              <x14:cfvo type="autoMin"/>
              <x14:cfvo type="num">
                <xm:f>31</xm:f>
              </x14:cfvo>
              <x14:borderColor theme="4"/>
              <x14:negativeFillColor rgb="FFFF0000"/>
              <x14:negativeBorderColor rgb="FFFF0000"/>
              <x14:axisColor rgb="FF000000"/>
            </x14:dataBar>
          </x14:cfRule>
          <xm:sqref>AM7:AM11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pageSetUpPr fitToPage="1"/>
  </sheetPr>
  <dimension ref="A1:AN346"/>
  <sheetViews>
    <sheetView showGridLines="0" zoomScaleNormal="100" workbookViewId="0">
      <pane xSplit="3" ySplit="6" topLeftCell="D7" activePane="bottomRight" state="frozen"/>
      <selection pane="topRight"/>
      <selection pane="bottomLeft"/>
      <selection pane="bottomRight" activeCell="D8" sqref="D8"/>
    </sheetView>
  </sheetViews>
  <sheetFormatPr defaultRowHeight="15" customHeight="1" x14ac:dyDescent="0.25"/>
  <cols>
    <col min="1" max="1" width="2.7109375" style="11" customWidth="1"/>
    <col min="2" max="2" width="15.7109375" style="11" bestFit="1" customWidth="1"/>
    <col min="3" max="3" width="28.85546875" style="12" customWidth="1"/>
    <col min="4" max="34" width="5" style="10" customWidth="1"/>
    <col min="35" max="35" width="4.7109375" style="9" customWidth="1"/>
    <col min="36" max="36" width="4.7109375" style="10" customWidth="1"/>
    <col min="37" max="38" width="4.7109375" style="11" customWidth="1"/>
    <col min="39" max="39" width="16.85546875" style="11" bestFit="1" customWidth="1"/>
    <col min="40" max="16384" width="9.140625" style="11"/>
  </cols>
  <sheetData>
    <row r="1" spans="1:40" s="1" customFormat="1" ht="42" customHeight="1" x14ac:dyDescent="0.25">
      <c r="A1" s="38" t="s">
        <v>88</v>
      </c>
      <c r="B1" s="39"/>
      <c r="C1" s="39"/>
      <c r="D1" s="40"/>
      <c r="E1" s="40"/>
      <c r="F1" s="40"/>
      <c r="G1" s="40"/>
      <c r="H1" s="40"/>
      <c r="I1" s="40"/>
      <c r="J1" s="40"/>
      <c r="K1" s="40"/>
      <c r="L1" s="40"/>
      <c r="M1" s="40"/>
      <c r="N1" s="40"/>
      <c r="O1" s="40"/>
      <c r="P1" s="40"/>
      <c r="Q1" s="40"/>
      <c r="R1" s="40"/>
      <c r="S1" s="40"/>
      <c r="T1" s="40"/>
      <c r="U1" s="40"/>
      <c r="V1" s="40"/>
      <c r="W1" s="40"/>
      <c r="X1" s="40"/>
      <c r="Y1" s="40"/>
      <c r="Z1" s="40"/>
      <c r="AA1" s="40"/>
      <c r="AB1" s="40"/>
      <c r="AC1" s="39"/>
      <c r="AD1" s="39"/>
      <c r="AE1" s="39"/>
      <c r="AF1" s="39"/>
      <c r="AG1" s="41"/>
      <c r="AH1" s="39"/>
      <c r="AI1" s="39"/>
      <c r="AJ1" s="42"/>
      <c r="AK1" s="39"/>
      <c r="AL1" s="55" t="s">
        <v>71</v>
      </c>
      <c r="AM1" s="56">
        <f>CalendárioAnual</f>
        <v>2018</v>
      </c>
    </row>
    <row r="2" spans="1:40" customFormat="1" ht="13.5" x14ac:dyDescent="0.25"/>
    <row r="3" spans="1:40" s="30" customFormat="1" ht="12.75" customHeight="1" x14ac:dyDescent="0.25">
      <c r="C3" s="45" t="str">
        <f>TextoColorKey</f>
        <v xml:space="preserve">CHAVE DE CORES </v>
      </c>
      <c r="D3" s="49" t="str">
        <f>Código1</f>
        <v>T</v>
      </c>
      <c r="E3" s="64" t="str">
        <f>Código1Texto</f>
        <v>Atrasado</v>
      </c>
      <c r="F3" s="54"/>
      <c r="H3" s="50" t="str">
        <f>Código2</f>
        <v>E</v>
      </c>
      <c r="I3" s="54" t="str">
        <f>Código2Texto</f>
        <v>Justificado</v>
      </c>
      <c r="L3" s="51" t="str">
        <f>Código3</f>
        <v>U</v>
      </c>
      <c r="M3" s="54" t="str">
        <f>Código3Texto</f>
        <v>Não justificado</v>
      </c>
      <c r="P3" s="52" t="str">
        <f>Código4</f>
        <v>P</v>
      </c>
      <c r="Q3" s="54" t="str">
        <f>Código4Texto</f>
        <v>Presente</v>
      </c>
      <c r="T3" s="53" t="str">
        <f>Código5</f>
        <v>N</v>
      </c>
      <c r="U3" s="54" t="str">
        <f>Código5Texto</f>
        <v>Não há Escola</v>
      </c>
      <c r="W3"/>
      <c r="X3"/>
      <c r="Y3"/>
      <c r="AD3" s="29"/>
      <c r="AE3" s="29"/>
      <c r="AH3" s="31"/>
      <c r="AI3" s="32"/>
      <c r="AK3" s="33"/>
    </row>
    <row r="4" spans="1:40" customFormat="1" ht="16.5" customHeight="1" x14ac:dyDescent="0.25"/>
    <row r="5" spans="1:40" s="2" customFormat="1" ht="18" customHeight="1" x14ac:dyDescent="0.3">
      <c r="B5" s="58">
        <f>DATE(CalendárioAnual,10,1)</f>
        <v>43374</v>
      </c>
      <c r="C5" s="57"/>
      <c r="D5" s="43" t="str">
        <f>TEXT(WEEKDAY(DATE(CalendárioAnual,10,1),1),"ddd")</f>
        <v>seg</v>
      </c>
      <c r="E5" s="43" t="str">
        <f>TEXT(WEEKDAY(DATE(CalendárioAnual,10,2),1),"ddd")</f>
        <v>ter</v>
      </c>
      <c r="F5" s="43" t="str">
        <f>TEXT(WEEKDAY(DATE(CalendárioAnual,10,3),1),"ddd")</f>
        <v>qua</v>
      </c>
      <c r="G5" s="43" t="str">
        <f>TEXT(WEEKDAY(DATE(CalendárioAnual,10,4),1),"ddd")</f>
        <v>qui</v>
      </c>
      <c r="H5" s="43" t="str">
        <f>TEXT(WEEKDAY(DATE(CalendárioAnual,10,5),1),"ddd")</f>
        <v>sex</v>
      </c>
      <c r="I5" s="43" t="str">
        <f>TEXT(WEEKDAY(DATE(CalendárioAnual,10,6),1),"ddd")</f>
        <v>sáb</v>
      </c>
      <c r="J5" s="43" t="str">
        <f>TEXT(WEEKDAY(DATE(CalendárioAnual,10,7),1),"ddd")</f>
        <v>dom</v>
      </c>
      <c r="K5" s="43" t="str">
        <f>TEXT(WEEKDAY(DATE(CalendárioAnual,10,8),1),"ddd")</f>
        <v>seg</v>
      </c>
      <c r="L5" s="43" t="str">
        <f>TEXT(WEEKDAY(DATE(CalendárioAnual,10,9),1),"ddd")</f>
        <v>ter</v>
      </c>
      <c r="M5" s="43" t="str">
        <f>TEXT(WEEKDAY(DATE(CalendárioAnual,10,10),1),"ddd")</f>
        <v>qua</v>
      </c>
      <c r="N5" s="43" t="str">
        <f>TEXT(WEEKDAY(DATE(CalendárioAnual,10,11),1),"ddd")</f>
        <v>qui</v>
      </c>
      <c r="O5" s="43" t="str">
        <f>TEXT(WEEKDAY(DATE(CalendárioAnual,10,12),1),"ddd")</f>
        <v>sex</v>
      </c>
      <c r="P5" s="43" t="str">
        <f>TEXT(WEEKDAY(DATE(CalendárioAnual,10,13),1),"ddd")</f>
        <v>sáb</v>
      </c>
      <c r="Q5" s="43" t="str">
        <f>TEXT(WEEKDAY(DATE(CalendárioAnual,10,14),1),"ddd")</f>
        <v>dom</v>
      </c>
      <c r="R5" s="43" t="str">
        <f>TEXT(WEEKDAY(DATE(CalendárioAnual,10,15),1),"ddd")</f>
        <v>seg</v>
      </c>
      <c r="S5" s="43" t="str">
        <f>TEXT(WEEKDAY(DATE(CalendárioAnual,10,16),1),"ddd")</f>
        <v>ter</v>
      </c>
      <c r="T5" s="43" t="str">
        <f>TEXT(WEEKDAY(DATE(CalendárioAnual,10,17),1),"ddd")</f>
        <v>qua</v>
      </c>
      <c r="U5" s="43" t="str">
        <f>TEXT(WEEKDAY(DATE(CalendárioAnual,10,18),1),"ddd")</f>
        <v>qui</v>
      </c>
      <c r="V5" s="43" t="str">
        <f>TEXT(WEEKDAY(DATE(CalendárioAnual,10,19),1),"ddd")</f>
        <v>sex</v>
      </c>
      <c r="W5" s="43" t="str">
        <f>TEXT(WEEKDAY(DATE(CalendárioAnual,10,20),1),"ddd")</f>
        <v>sáb</v>
      </c>
      <c r="X5" s="43" t="str">
        <f>TEXT(WEEKDAY(DATE(CalendárioAnual,10,21),1),"ddd")</f>
        <v>dom</v>
      </c>
      <c r="Y5" s="43" t="str">
        <f>TEXT(WEEKDAY(DATE(CalendárioAnual,10,22),1),"ddd")</f>
        <v>seg</v>
      </c>
      <c r="Z5" s="43" t="str">
        <f>TEXT(WEEKDAY(DATE(CalendárioAnual,10,23),1),"ddd")</f>
        <v>ter</v>
      </c>
      <c r="AA5" s="43" t="str">
        <f>TEXT(WEEKDAY(DATE(CalendárioAnual,10,24),1),"ddd")</f>
        <v>qua</v>
      </c>
      <c r="AB5" s="43" t="str">
        <f>TEXT(WEEKDAY(DATE(CalendárioAnual,10,25),1),"ddd")</f>
        <v>qui</v>
      </c>
      <c r="AC5" s="43" t="str">
        <f>TEXT(WEEKDAY(DATE(CalendárioAnual,10,26),1),"ddd")</f>
        <v>sex</v>
      </c>
      <c r="AD5" s="43" t="str">
        <f>TEXT(WEEKDAY(DATE(CalendárioAnual,10,27),1),"ddd")</f>
        <v>sáb</v>
      </c>
      <c r="AE5" s="43" t="str">
        <f>TEXT(WEEKDAY(DATE(CalendárioAnual,10,28),1),"ddd")</f>
        <v>dom</v>
      </c>
      <c r="AF5" s="43" t="str">
        <f>TEXT(WEEKDAY(DATE(CalendárioAnual,10,29),1),"ddd")</f>
        <v>seg</v>
      </c>
      <c r="AG5" s="43" t="str">
        <f>TEXT(WEEKDAY(DATE(CalendárioAnual,10,30),1),"ddd")</f>
        <v>ter</v>
      </c>
      <c r="AH5" s="43" t="str">
        <f>TEXT(WEEKDAY(DATE(CalendárioAnual,10,31),1),"ddd")</f>
        <v>qua</v>
      </c>
      <c r="AI5" s="116" t="s">
        <v>40</v>
      </c>
      <c r="AJ5" s="117"/>
      <c r="AK5" s="117"/>
      <c r="AL5" s="117"/>
      <c r="AM5" s="118"/>
    </row>
    <row r="6" spans="1:40" s="6" customFormat="1" ht="14.25" customHeight="1" x14ac:dyDescent="0.25">
      <c r="B6" s="29" t="s">
        <v>34</v>
      </c>
      <c r="C6" s="46" t="s">
        <v>35</v>
      </c>
      <c r="D6" s="3" t="s">
        <v>0</v>
      </c>
      <c r="E6" s="3" t="s">
        <v>1</v>
      </c>
      <c r="F6" s="3" t="s">
        <v>2</v>
      </c>
      <c r="G6" s="3" t="s">
        <v>3</v>
      </c>
      <c r="H6" s="3" t="s">
        <v>4</v>
      </c>
      <c r="I6" s="3" t="s">
        <v>5</v>
      </c>
      <c r="J6" s="3" t="s">
        <v>6</v>
      </c>
      <c r="K6" s="3" t="s">
        <v>7</v>
      </c>
      <c r="L6" s="3" t="s">
        <v>8</v>
      </c>
      <c r="M6" s="3" t="s">
        <v>9</v>
      </c>
      <c r="N6" s="3" t="s">
        <v>10</v>
      </c>
      <c r="O6" s="3" t="s">
        <v>11</v>
      </c>
      <c r="P6" s="3" t="s">
        <v>12</v>
      </c>
      <c r="Q6" s="3" t="s">
        <v>13</v>
      </c>
      <c r="R6" s="3" t="s">
        <v>14</v>
      </c>
      <c r="S6" s="3" t="s">
        <v>15</v>
      </c>
      <c r="T6" s="3" t="s">
        <v>16</v>
      </c>
      <c r="U6" s="3" t="s">
        <v>17</v>
      </c>
      <c r="V6" s="3" t="s">
        <v>18</v>
      </c>
      <c r="W6" s="3" t="s">
        <v>19</v>
      </c>
      <c r="X6" s="3" t="s">
        <v>20</v>
      </c>
      <c r="Y6" s="3" t="s">
        <v>21</v>
      </c>
      <c r="Z6" s="3" t="s">
        <v>22</v>
      </c>
      <c r="AA6" s="3" t="s">
        <v>23</v>
      </c>
      <c r="AB6" s="3" t="s">
        <v>24</v>
      </c>
      <c r="AC6" s="3" t="s">
        <v>25</v>
      </c>
      <c r="AD6" s="3" t="s">
        <v>26</v>
      </c>
      <c r="AE6" s="3" t="s">
        <v>27</v>
      </c>
      <c r="AF6" s="3" t="s">
        <v>28</v>
      </c>
      <c r="AG6" s="3" t="s">
        <v>29</v>
      </c>
      <c r="AH6" s="3" t="s">
        <v>30</v>
      </c>
      <c r="AI6" s="88" t="s">
        <v>36</v>
      </c>
      <c r="AJ6" s="65" t="s">
        <v>38</v>
      </c>
      <c r="AK6" s="66" t="s">
        <v>37</v>
      </c>
      <c r="AL6" s="67" t="s">
        <v>31</v>
      </c>
      <c r="AM6" s="48" t="s">
        <v>39</v>
      </c>
      <c r="AN6" s="5"/>
    </row>
    <row r="7" spans="1:40" s="6" customFormat="1" ht="16.5" customHeight="1" x14ac:dyDescent="0.25">
      <c r="B7" s="25"/>
      <c r="C7" s="47" t="str">
        <f>IFERROR(VLOOKUP(PresençasEmOutubro[[#This Row],[ID de Estudante]],ListaDeAlunos[],18,FALSE),"")</f>
        <v/>
      </c>
      <c r="D7" s="23" t="s">
        <v>36</v>
      </c>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4"/>
      <c r="AG7" s="22"/>
      <c r="AH7" s="22"/>
      <c r="AI7" s="7">
        <f>COUNTIF(PresençasEmOutubro[[#This Row],[1]:[31]],Código1)</f>
        <v>1</v>
      </c>
      <c r="AJ7" s="35">
        <f>COUNTIF(PresençasEmOutubro[[#This Row],[1]:[31]],Código2)</f>
        <v>0</v>
      </c>
      <c r="AK7" s="35">
        <f>COUNTIF(PresençasEmOutubro[[#This Row],[1]:[31]],Código3)</f>
        <v>0</v>
      </c>
      <c r="AL7" s="35">
        <f>COUNTIF(PresençasEmOutubro[[#This Row],[1]:[31]],Código4)</f>
        <v>0</v>
      </c>
      <c r="AM7" s="7">
        <f>SUM(PresençasEmOutubro[[#This Row],[E]:[U]])</f>
        <v>0</v>
      </c>
      <c r="AN7" s="5"/>
    </row>
    <row r="8" spans="1:40" s="6" customFormat="1" ht="16.5" customHeight="1" x14ac:dyDescent="0.25">
      <c r="B8" s="25"/>
      <c r="C8" s="19" t="str">
        <f>IFERROR(VLOOKUP(PresençasEmOutubro[[#This Row],[ID de Estudante]],ListaDeAlunos[],18,FALSE),"")</f>
        <v/>
      </c>
      <c r="D8" s="23"/>
      <c r="E8" s="23"/>
      <c r="F8" s="23"/>
      <c r="G8" s="23"/>
      <c r="H8" s="23"/>
      <c r="I8" s="23" t="s">
        <v>37</v>
      </c>
      <c r="J8" s="23"/>
      <c r="K8" s="23"/>
      <c r="L8" s="23"/>
      <c r="M8" s="23"/>
      <c r="N8" s="23"/>
      <c r="O8" s="23"/>
      <c r="P8" s="23"/>
      <c r="Q8" s="23"/>
      <c r="R8" s="23"/>
      <c r="S8" s="23"/>
      <c r="T8" s="23"/>
      <c r="U8" s="23"/>
      <c r="V8" s="23"/>
      <c r="W8" s="23"/>
      <c r="X8" s="23"/>
      <c r="Y8" s="23"/>
      <c r="Z8" s="23"/>
      <c r="AA8" s="23"/>
      <c r="AB8" s="23"/>
      <c r="AC8" s="23"/>
      <c r="AD8" s="23"/>
      <c r="AE8" s="23"/>
      <c r="AF8" s="24"/>
      <c r="AG8" s="22"/>
      <c r="AH8" s="22"/>
      <c r="AI8" s="7">
        <f>COUNTIF(PresençasEmOutubro[[#This Row],[1]:[31]],Código1)</f>
        <v>0</v>
      </c>
      <c r="AJ8" s="35">
        <f>COUNTIF(PresençasEmOutubro[[#This Row],[1]:[31]],Código2)</f>
        <v>0</v>
      </c>
      <c r="AK8" s="35">
        <f>COUNTIF(PresençasEmOutubro[[#This Row],[1]:[31]],Código3)</f>
        <v>1</v>
      </c>
      <c r="AL8" s="35">
        <f>COUNTIF(PresençasEmOutubro[[#This Row],[1]:[31]],Código4)</f>
        <v>0</v>
      </c>
      <c r="AM8" s="7">
        <f>SUM(PresençasEmOutubro[[#This Row],[E]:[U]])</f>
        <v>1</v>
      </c>
      <c r="AN8" s="5"/>
    </row>
    <row r="9" spans="1:40" s="1" customFormat="1" ht="16.5" customHeight="1" x14ac:dyDescent="0.25">
      <c r="B9" s="25"/>
      <c r="C9" s="19" t="str">
        <f>IFERROR(VLOOKUP(PresençasEmOutubro[[#This Row],[ID de Estudante]],ListaDeAlunos[],18,FALSE),"")</f>
        <v/>
      </c>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4"/>
      <c r="AG9" s="22"/>
      <c r="AH9" s="22"/>
      <c r="AI9" s="7">
        <f>COUNTIF(PresençasEmOutubro[[#This Row],[1]:[31]],Código1)</f>
        <v>0</v>
      </c>
      <c r="AJ9" s="35">
        <f>COUNTIF(PresençasEmOutubro[[#This Row],[1]:[31]],Código2)</f>
        <v>0</v>
      </c>
      <c r="AK9" s="35">
        <f>COUNTIF(PresençasEmOutubro[[#This Row],[1]:[31]],Código3)</f>
        <v>0</v>
      </c>
      <c r="AL9" s="35">
        <f>COUNTIF(PresençasEmOutubro[[#This Row],[1]:[31]],Código4)</f>
        <v>0</v>
      </c>
      <c r="AM9" s="7">
        <f>SUM(PresençasEmOutubro[[#This Row],[E]:[U]])</f>
        <v>0</v>
      </c>
      <c r="AN9" s="8"/>
    </row>
    <row r="10" spans="1:40" ht="16.5" customHeight="1" x14ac:dyDescent="0.25">
      <c r="B10" s="25"/>
      <c r="C10" s="19" t="str">
        <f>IFERROR(VLOOKUP(PresençasEmOutubro[[#This Row],[ID de Estudante]],ListaDeAlunos[],18,FALSE),"")</f>
        <v/>
      </c>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4"/>
      <c r="AG10" s="22"/>
      <c r="AH10" s="22"/>
      <c r="AI10" s="7">
        <f>COUNTIF(PresençasEmOutubro[[#This Row],[1]:[31]],Código1)</f>
        <v>0</v>
      </c>
      <c r="AJ10" s="35">
        <f>COUNTIF(PresençasEmOutubro[[#This Row],[1]:[31]],Código2)</f>
        <v>0</v>
      </c>
      <c r="AK10" s="35">
        <f>COUNTIF(PresençasEmOutubro[[#This Row],[1]:[31]],Código3)</f>
        <v>0</v>
      </c>
      <c r="AL10" s="35">
        <f>COUNTIF(PresençasEmOutubro[[#This Row],[1]:[31]],Código4)</f>
        <v>0</v>
      </c>
      <c r="AM10" s="7">
        <f>SUM(PresençasEmOutubro[[#This Row],[E]:[U]])</f>
        <v>0</v>
      </c>
      <c r="AN10" s="10"/>
    </row>
    <row r="11" spans="1:40" ht="16.5" customHeight="1" x14ac:dyDescent="0.25">
      <c r="B11" s="25"/>
      <c r="C11" s="19" t="str">
        <f>IFERROR(VLOOKUP(PresençasEmOutubro[[#This Row],[ID de Estudante]],ListaDeAlunos[],18,FALSE),"")</f>
        <v/>
      </c>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4"/>
      <c r="AG11" s="22"/>
      <c r="AH11" s="22"/>
      <c r="AI11" s="7">
        <f>COUNTIF(PresençasEmOutubro[[#This Row],[1]:[31]],Código1)</f>
        <v>0</v>
      </c>
      <c r="AJ11" s="35">
        <f>COUNTIF(PresençasEmOutubro[[#This Row],[1]:[31]],Código2)</f>
        <v>0</v>
      </c>
      <c r="AK11" s="35">
        <f>COUNTIF(PresençasEmOutubro[[#This Row],[1]:[31]],Código3)</f>
        <v>0</v>
      </c>
      <c r="AL11" s="35">
        <f>COUNTIF(PresençasEmOutubro[[#This Row],[1]:[31]],Código4)</f>
        <v>0</v>
      </c>
      <c r="AM11" s="7">
        <f>SUM(PresençasEmOutubro[[#This Row],[E]:[U]])</f>
        <v>0</v>
      </c>
      <c r="AN11" s="10"/>
    </row>
    <row r="12" spans="1:40" ht="16.5" customHeight="1" x14ac:dyDescent="0.25">
      <c r="B12" s="106"/>
      <c r="C12" s="107" t="s">
        <v>113</v>
      </c>
      <c r="D12" s="108">
        <f>COUNTIF(PresençasEmOutubro[1],"U")+COUNTIF(PresençasEmOutubro[1],"E")</f>
        <v>0</v>
      </c>
      <c r="E12" s="108">
        <f>COUNTIF(PresençasEmOutubro[2],"U")+COUNTIF(PresençasEmOutubro[2],"E")</f>
        <v>0</v>
      </c>
      <c r="F12" s="108">
        <f>COUNTIF(PresençasEmOutubro[3],"U")+COUNTIF(PresençasEmOutubro[3],"E")</f>
        <v>0</v>
      </c>
      <c r="G12" s="108">
        <f>COUNTIF(PresençasEmOutubro[4],"U")+COUNTIF(PresençasEmOutubro[4],"E")</f>
        <v>0</v>
      </c>
      <c r="H12" s="108">
        <f>COUNTIF(PresençasEmOutubro[5],"U")+COUNTIF(PresençasEmOutubro[5],"E")</f>
        <v>0</v>
      </c>
      <c r="I12" s="108">
        <f>COUNTIF(PresençasEmOutubro[6],"U")+COUNTIF(PresençasEmOutubro[6],"E")</f>
        <v>1</v>
      </c>
      <c r="J12" s="108">
        <f>COUNTIF(PresençasEmOutubro[7],"U")+COUNTIF(PresençasEmOutubro[7],"E")</f>
        <v>0</v>
      </c>
      <c r="K12" s="108">
        <f>COUNTIF(PresençasEmOutubro[8],"U")+COUNTIF(PresençasEmOutubro[8],"E")</f>
        <v>0</v>
      </c>
      <c r="L12" s="108">
        <f>COUNTIF(PresençasEmOutubro[9],"U")+COUNTIF(PresençasEmOutubro[9],"E")</f>
        <v>0</v>
      </c>
      <c r="M12" s="108">
        <f>COUNTIF(PresençasEmOutubro[10],"U")+COUNTIF(PresençasEmOutubro[10],"E")</f>
        <v>0</v>
      </c>
      <c r="N12" s="108">
        <f>COUNTIF(PresençasEmOutubro[11],"U")+COUNTIF(PresençasEmOutubro[11],"E")</f>
        <v>0</v>
      </c>
      <c r="O12" s="108">
        <f>COUNTIF(PresençasEmOutubro[12],"U")+COUNTIF(PresençasEmOutubro[12],"E")</f>
        <v>0</v>
      </c>
      <c r="P12" s="108">
        <f>COUNTIF(PresençasEmOutubro[13],"U")+COUNTIF(PresençasEmOutubro[13],"E")</f>
        <v>0</v>
      </c>
      <c r="Q12" s="108">
        <f>COUNTIF(PresençasEmOutubro[14],"U")+COUNTIF(PresençasEmOutubro[14],"E")</f>
        <v>0</v>
      </c>
      <c r="R12" s="108">
        <f>COUNTIF(PresençasEmOutubro[15],"U")+COUNTIF(PresençasEmOutubro[15],"E")</f>
        <v>0</v>
      </c>
      <c r="S12" s="108">
        <f>COUNTIF(PresençasEmOutubro[16],"U")+COUNTIF(PresençasEmOutubro[16],"E")</f>
        <v>0</v>
      </c>
      <c r="T12" s="108">
        <f>COUNTIF(PresençasEmOutubro[17],"U")+COUNTIF(PresençasEmOutubro[17],"E")</f>
        <v>0</v>
      </c>
      <c r="U12" s="108">
        <f>COUNTIF(PresençasEmOutubro[18],"U")+COUNTIF(PresençasEmOutubro[18],"E")</f>
        <v>0</v>
      </c>
      <c r="V12" s="108">
        <f>COUNTIF(PresençasEmOutubro[19],"U")+COUNTIF(PresençasEmOutubro[19],"E")</f>
        <v>0</v>
      </c>
      <c r="W12" s="108">
        <f>COUNTIF(PresençasEmOutubro[20],"U")+COUNTIF(PresençasEmOutubro[20],"E")</f>
        <v>0</v>
      </c>
      <c r="X12" s="108">
        <f>COUNTIF(PresençasEmOutubro[21],"U")+COUNTIF(PresençasEmOutubro[21],"E")</f>
        <v>0</v>
      </c>
      <c r="Y12" s="108">
        <f>COUNTIF(PresençasEmOutubro[22],"U")+COUNTIF(PresençasEmOutubro[22],"E")</f>
        <v>0</v>
      </c>
      <c r="Z12" s="108">
        <f>COUNTIF(PresençasEmOutubro[23],"U")+COUNTIF(PresençasEmOutubro[23],"E")</f>
        <v>0</v>
      </c>
      <c r="AA12" s="108">
        <f>COUNTIF(PresençasEmOutubro[24],"U")+COUNTIF(PresençasEmOutubro[24],"E")</f>
        <v>0</v>
      </c>
      <c r="AB12" s="108">
        <f>COUNTIF(PresençasEmOutubro[25],"U")+COUNTIF(PresençasEmOutubro[25],"E")</f>
        <v>0</v>
      </c>
      <c r="AC12" s="108">
        <f>COUNTIF(PresençasEmOutubro[26],"U")+COUNTIF(PresençasEmOutubro[26],"E")</f>
        <v>0</v>
      </c>
      <c r="AD12" s="108">
        <f>COUNTIF(PresençasEmOutubro[27],"U")+COUNTIF(PresençasEmOutubro[27],"E")</f>
        <v>0</v>
      </c>
      <c r="AE12" s="108">
        <f>COUNTIF(PresençasEmOutubro[28],"U")+COUNTIF(PresençasEmOutubro[28],"E")</f>
        <v>0</v>
      </c>
      <c r="AF12" s="108">
        <f>COUNTIF(PresençasEmOutubro[29],"U")+COUNTIF(PresençasEmOutubro[29],"E")</f>
        <v>0</v>
      </c>
      <c r="AG12" s="108">
        <f>COUNTIF(PresençasEmOutubro[30],"U")+COUNTIF(PresençasEmOutubro[30],"E")</f>
        <v>0</v>
      </c>
      <c r="AH12" s="108">
        <f>COUNTIF(PresençasEmOutubro[31],"U")+COUNTIF(PresençasEmOutubro[31],"E")</f>
        <v>0</v>
      </c>
      <c r="AI12" s="108">
        <f>SUBTOTAL(109,PresençasEmOutubro[T])</f>
        <v>1</v>
      </c>
      <c r="AJ12" s="108">
        <f>SUBTOTAL(109,PresençasEmOutubro[E])</f>
        <v>0</v>
      </c>
      <c r="AK12" s="108">
        <f>SUBTOTAL(109,PresençasEmOutubro[U])</f>
        <v>1</v>
      </c>
      <c r="AL12" s="108">
        <f>SUBTOTAL(109,PresençasEmOutubro[P])</f>
        <v>0</v>
      </c>
      <c r="AM12" s="108">
        <f>SUBTOTAL(109,PresençasEmOutubro[Dias de Ausência])</f>
        <v>1</v>
      </c>
    </row>
    <row r="13" spans="1:40" ht="16.5" customHeight="1" x14ac:dyDescent="0.25"/>
    <row r="14" spans="1:40" ht="16.5" customHeight="1" x14ac:dyDescent="0.25"/>
    <row r="15" spans="1:40" ht="16.5" customHeight="1" x14ac:dyDescent="0.25"/>
    <row r="16" spans="1:40"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6.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sheetData>
  <sheetProtection formatCells="0" formatColumns="0" formatRows="0" insertColumns="0" insertRows="0" insertHyperlinks="0" deleteColumns="0" deleteRows="0" sort="0" autoFilter="0" pivotTables="0"/>
  <mergeCells count="1">
    <mergeCell ref="AI5:AM5"/>
  </mergeCells>
  <conditionalFormatting sqref="AM7:AM11">
    <cfRule type="dataBar" priority="6">
      <dataBar>
        <cfvo type="min"/>
        <cfvo type="num" val="31"/>
        <color theme="4"/>
      </dataBar>
      <extLst>
        <ext xmlns:x14="http://schemas.microsoft.com/office/spreadsheetml/2009/9/main" uri="{B025F937-C7B1-47D3-B67F-A62EFF666E3E}">
          <x14:id>{6EA17848-2AAC-40C7-98F3-52AFCDA9173D}</x14:id>
        </ext>
      </extLst>
    </cfRule>
  </conditionalFormatting>
  <conditionalFormatting sqref="AG7:AI11">
    <cfRule type="expression" dxfId="792" priority="7" stopIfTrue="1">
      <formula>AG7=Código2</formula>
    </cfRule>
  </conditionalFormatting>
  <conditionalFormatting sqref="AG7:AH11">
    <cfRule type="expression" dxfId="791" priority="8" stopIfTrue="1">
      <formula>AG7=Código5</formula>
    </cfRule>
    <cfRule type="expression" dxfId="790" priority="9" stopIfTrue="1">
      <formula>AG7=Código4</formula>
    </cfRule>
    <cfRule type="expression" dxfId="789" priority="10" stopIfTrue="1">
      <formula>AG7=Código3</formula>
    </cfRule>
    <cfRule type="expression" dxfId="788" priority="11" stopIfTrue="1">
      <formula>AG7=Código1</formula>
    </cfRule>
  </conditionalFormatting>
  <conditionalFormatting sqref="D7:AF11">
    <cfRule type="expression" dxfId="787" priority="1" stopIfTrue="1">
      <formula>D7=Código2</formula>
    </cfRule>
  </conditionalFormatting>
  <conditionalFormatting sqref="D7:AF11">
    <cfRule type="expression" dxfId="786" priority="2" stopIfTrue="1">
      <formula>D7=Código5</formula>
    </cfRule>
    <cfRule type="expression" dxfId="785" priority="3" stopIfTrue="1">
      <formula>D7=Código4</formula>
    </cfRule>
    <cfRule type="expression" dxfId="784" priority="4" stopIfTrue="1">
      <formula>D7=Código3</formula>
    </cfRule>
    <cfRule type="expression" dxfId="783" priority="5" stopIfTrue="1">
      <formula>D7=Código1</formula>
    </cfRule>
  </conditionalFormatting>
  <dataValidations count="1">
    <dataValidation type="list" errorStyle="warning" allowBlank="1" showInputMessage="1" showErrorMessage="1" errorTitle="Ups!" error="O ID de Estudante que introduziu não está na folha da Lista de Estudantes. Pode clicar em Sim para usar o que introduziu, mas esse ID de Estudante não estará disponível na folha de Relatório de Presenças de Estudantes." sqref="B7:B11" xr:uid="{00000000-0002-0000-0400-000000000000}">
      <formula1>IDDeAluno</formula1>
    </dataValidation>
  </dataValidations>
  <printOptions horizontalCentered="1"/>
  <pageMargins left="0.5" right="0.5" top="0.75" bottom="0.75" header="0.3" footer="0.3"/>
  <pageSetup paperSize="9" scale="57" fitToHeight="0" orientation="landscape" verticalDpi="12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6EA17848-2AAC-40C7-98F3-52AFCDA9173D}">
            <x14:dataBar minLength="0" maxLength="100" border="1" negativeBarBorderColorSameAsPositive="0">
              <x14:cfvo type="autoMin"/>
              <x14:cfvo type="num">
                <xm:f>31</xm:f>
              </x14:cfvo>
              <x14:borderColor theme="4"/>
              <x14:negativeFillColor rgb="FFFF0000"/>
              <x14:negativeBorderColor rgb="FFFF0000"/>
              <x14:axisColor rgb="FF000000"/>
            </x14:dataBar>
          </x14:cfRule>
          <xm:sqref>AM7:AM11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pageSetUpPr fitToPage="1"/>
  </sheetPr>
  <dimension ref="A1:AN346"/>
  <sheetViews>
    <sheetView showGridLines="0" zoomScaleNormal="100" workbookViewId="0">
      <pane xSplit="3" ySplit="6" topLeftCell="D7" activePane="bottomRight" state="frozen"/>
      <selection pane="topRight"/>
      <selection pane="bottomLeft"/>
      <selection pane="bottomRight"/>
    </sheetView>
  </sheetViews>
  <sheetFormatPr defaultRowHeight="15" customHeight="1" x14ac:dyDescent="0.25"/>
  <cols>
    <col min="1" max="1" width="2.7109375" style="11" customWidth="1"/>
    <col min="2" max="2" width="15.7109375" style="11" bestFit="1" customWidth="1"/>
    <col min="3" max="3" width="28.85546875" style="12" customWidth="1"/>
    <col min="4" max="34" width="5" style="10" customWidth="1"/>
    <col min="35" max="35" width="4.7109375" style="9" customWidth="1"/>
    <col min="36" max="36" width="4.7109375" style="10" customWidth="1"/>
    <col min="37" max="38" width="4.7109375" style="11" customWidth="1"/>
    <col min="39" max="39" width="16.85546875" style="11" bestFit="1" customWidth="1"/>
    <col min="40" max="16384" width="9.140625" style="11"/>
  </cols>
  <sheetData>
    <row r="1" spans="1:40" s="1" customFormat="1" ht="42" customHeight="1" x14ac:dyDescent="0.25">
      <c r="A1" s="38" t="s">
        <v>88</v>
      </c>
      <c r="B1" s="39"/>
      <c r="C1" s="39"/>
      <c r="D1" s="40"/>
      <c r="E1" s="40"/>
      <c r="F1" s="40"/>
      <c r="G1" s="40"/>
      <c r="H1" s="40"/>
      <c r="I1" s="40"/>
      <c r="J1" s="40"/>
      <c r="K1" s="40"/>
      <c r="L1" s="40"/>
      <c r="M1" s="40"/>
      <c r="N1" s="40"/>
      <c r="O1" s="40"/>
      <c r="P1" s="40"/>
      <c r="Q1" s="40"/>
      <c r="R1" s="40"/>
      <c r="S1" s="40"/>
      <c r="T1" s="40"/>
      <c r="U1" s="40"/>
      <c r="V1" s="40"/>
      <c r="W1" s="40"/>
      <c r="X1" s="40"/>
      <c r="Y1" s="40"/>
      <c r="Z1" s="40"/>
      <c r="AA1" s="40"/>
      <c r="AB1" s="40"/>
      <c r="AC1" s="39"/>
      <c r="AD1" s="39"/>
      <c r="AE1" s="39"/>
      <c r="AF1" s="39"/>
      <c r="AG1" s="41"/>
      <c r="AH1" s="39"/>
      <c r="AI1" s="39"/>
      <c r="AJ1" s="42"/>
      <c r="AK1" s="39"/>
      <c r="AL1" s="55" t="s">
        <v>71</v>
      </c>
      <c r="AM1" s="56">
        <f>CalendárioAnual</f>
        <v>2018</v>
      </c>
    </row>
    <row r="2" spans="1:40" customFormat="1" ht="13.5" x14ac:dyDescent="0.25"/>
    <row r="3" spans="1:40" s="30" customFormat="1" ht="12.75" customHeight="1" x14ac:dyDescent="0.25">
      <c r="C3" s="45" t="str">
        <f>TextoColorKey</f>
        <v xml:space="preserve">CHAVE DE CORES </v>
      </c>
      <c r="D3" s="49" t="str">
        <f>Código1</f>
        <v>T</v>
      </c>
      <c r="E3" s="64" t="str">
        <f>Código1Texto</f>
        <v>Atrasado</v>
      </c>
      <c r="F3" s="54"/>
      <c r="H3" s="50" t="str">
        <f>Código2</f>
        <v>E</v>
      </c>
      <c r="I3" s="54" t="str">
        <f>Código2Texto</f>
        <v>Justificado</v>
      </c>
      <c r="L3" s="51" t="str">
        <f>Código3</f>
        <v>U</v>
      </c>
      <c r="M3" s="54" t="str">
        <f>Código3Texto</f>
        <v>Não justificado</v>
      </c>
      <c r="P3" s="52" t="str">
        <f>Código4</f>
        <v>P</v>
      </c>
      <c r="Q3" s="54" t="str">
        <f>Código4Texto</f>
        <v>Presente</v>
      </c>
      <c r="T3" s="53" t="str">
        <f>Código5</f>
        <v>N</v>
      </c>
      <c r="U3" s="54" t="str">
        <f>Código5Texto</f>
        <v>Não há Escola</v>
      </c>
      <c r="W3"/>
      <c r="X3"/>
      <c r="Y3"/>
      <c r="AD3" s="29"/>
      <c r="AE3" s="29"/>
      <c r="AH3" s="31"/>
      <c r="AI3" s="32"/>
      <c r="AK3" s="33"/>
    </row>
    <row r="4" spans="1:40" customFormat="1" ht="16.5" customHeight="1" x14ac:dyDescent="0.25"/>
    <row r="5" spans="1:40" s="2" customFormat="1" ht="18" customHeight="1" x14ac:dyDescent="0.3">
      <c r="B5" s="58">
        <f>DATE(CalendárioAnual,11,1)</f>
        <v>43405</v>
      </c>
      <c r="C5" s="57"/>
      <c r="D5" s="43" t="str">
        <f>TEXT(WEEKDAY(DATE(CalendárioAnual,11,1),1),"ddd")</f>
        <v>qui</v>
      </c>
      <c r="E5" s="43" t="str">
        <f>TEXT(WEEKDAY(DATE(CalendárioAnual,11,2),1),"ddd")</f>
        <v>sex</v>
      </c>
      <c r="F5" s="43" t="str">
        <f>TEXT(WEEKDAY(DATE(CalendárioAnual,11,3),1),"ddd")</f>
        <v>sáb</v>
      </c>
      <c r="G5" s="43" t="str">
        <f>TEXT(WEEKDAY(DATE(CalendárioAnual,11,4),1),"ddd")</f>
        <v>dom</v>
      </c>
      <c r="H5" s="43" t="str">
        <f>TEXT(WEEKDAY(DATE(CalendárioAnual,11,5),1),"ddd")</f>
        <v>seg</v>
      </c>
      <c r="I5" s="43" t="str">
        <f>TEXT(WEEKDAY(DATE(CalendárioAnual,11,6),1),"ddd")</f>
        <v>ter</v>
      </c>
      <c r="J5" s="43" t="str">
        <f>TEXT(WEEKDAY(DATE(CalendárioAnual,11,7),1),"ddd")</f>
        <v>qua</v>
      </c>
      <c r="K5" s="43" t="str">
        <f>TEXT(WEEKDAY(DATE(CalendárioAnual,11,8),1),"ddd")</f>
        <v>qui</v>
      </c>
      <c r="L5" s="43" t="str">
        <f>TEXT(WEEKDAY(DATE(CalendárioAnual,11,9),1),"ddd")</f>
        <v>sex</v>
      </c>
      <c r="M5" s="43" t="str">
        <f>TEXT(WEEKDAY(DATE(CalendárioAnual,11,10),1),"ddd")</f>
        <v>sáb</v>
      </c>
      <c r="N5" s="43" t="str">
        <f>TEXT(WEEKDAY(DATE(CalendárioAnual,11,11),1),"ddd")</f>
        <v>dom</v>
      </c>
      <c r="O5" s="43" t="str">
        <f>TEXT(WEEKDAY(DATE(CalendárioAnual,11,12),1),"ddd")</f>
        <v>seg</v>
      </c>
      <c r="P5" s="43" t="str">
        <f>TEXT(WEEKDAY(DATE(CalendárioAnual,11,13),1),"ddd")</f>
        <v>ter</v>
      </c>
      <c r="Q5" s="43" t="str">
        <f>TEXT(WEEKDAY(DATE(CalendárioAnual,11,14),1),"ddd")</f>
        <v>qua</v>
      </c>
      <c r="R5" s="43" t="str">
        <f>TEXT(WEEKDAY(DATE(CalendárioAnual,11,15),1),"ddd")</f>
        <v>qui</v>
      </c>
      <c r="S5" s="43" t="str">
        <f>TEXT(WEEKDAY(DATE(CalendárioAnual,11,16),1),"ddd")</f>
        <v>sex</v>
      </c>
      <c r="T5" s="43" t="str">
        <f>TEXT(WEEKDAY(DATE(CalendárioAnual,11,17),1),"ddd")</f>
        <v>sáb</v>
      </c>
      <c r="U5" s="43" t="str">
        <f>TEXT(WEEKDAY(DATE(CalendárioAnual,11,18),1),"ddd")</f>
        <v>dom</v>
      </c>
      <c r="V5" s="43" t="str">
        <f>TEXT(WEEKDAY(DATE(CalendárioAnual,11,19),1),"ddd")</f>
        <v>seg</v>
      </c>
      <c r="W5" s="43" t="str">
        <f>TEXT(WEEKDAY(DATE(CalendárioAnual,11,20),1),"ddd")</f>
        <v>ter</v>
      </c>
      <c r="X5" s="43" t="str">
        <f>TEXT(WEEKDAY(DATE(CalendárioAnual,11,21),1),"ddd")</f>
        <v>qua</v>
      </c>
      <c r="Y5" s="43" t="str">
        <f>TEXT(WEEKDAY(DATE(CalendárioAnual,11,22),1),"ddd")</f>
        <v>qui</v>
      </c>
      <c r="Z5" s="43" t="str">
        <f>TEXT(WEEKDAY(DATE(CalendárioAnual,11,23),1),"ddd")</f>
        <v>sex</v>
      </c>
      <c r="AA5" s="43" t="str">
        <f>TEXT(WEEKDAY(DATE(CalendárioAnual,11,24),1),"ddd")</f>
        <v>sáb</v>
      </c>
      <c r="AB5" s="43" t="str">
        <f>TEXT(WEEKDAY(DATE(CalendárioAnual,11,25),1),"ddd")</f>
        <v>dom</v>
      </c>
      <c r="AC5" s="43" t="str">
        <f>TEXT(WEEKDAY(DATE(CalendárioAnual,11,26),1),"ddd")</f>
        <v>seg</v>
      </c>
      <c r="AD5" s="43" t="str">
        <f>TEXT(WEEKDAY(DATE(CalendárioAnual,11,27),1),"ddd")</f>
        <v>ter</v>
      </c>
      <c r="AE5" s="43" t="str">
        <f>TEXT(WEEKDAY(DATE(CalendárioAnual,11,28),1),"ddd")</f>
        <v>qua</v>
      </c>
      <c r="AF5" s="43" t="str">
        <f>TEXT(WEEKDAY(DATE(CalendárioAnual,11,29),1),"ddd")</f>
        <v>qui</v>
      </c>
      <c r="AG5" s="43" t="str">
        <f>TEXT(WEEKDAY(DATE(CalendárioAnual,11,30),1),"ddd")</f>
        <v>sex</v>
      </c>
      <c r="AH5" s="43"/>
      <c r="AI5" s="116" t="s">
        <v>40</v>
      </c>
      <c r="AJ5" s="117"/>
      <c r="AK5" s="117"/>
      <c r="AL5" s="117"/>
      <c r="AM5" s="118"/>
    </row>
    <row r="6" spans="1:40" s="6" customFormat="1" ht="14.25" customHeight="1" x14ac:dyDescent="0.25">
      <c r="B6" s="29" t="s">
        <v>34</v>
      </c>
      <c r="C6" s="46" t="s">
        <v>35</v>
      </c>
      <c r="D6" s="3" t="s">
        <v>0</v>
      </c>
      <c r="E6" s="3" t="s">
        <v>1</v>
      </c>
      <c r="F6" s="3" t="s">
        <v>2</v>
      </c>
      <c r="G6" s="3" t="s">
        <v>3</v>
      </c>
      <c r="H6" s="3" t="s">
        <v>4</v>
      </c>
      <c r="I6" s="3" t="s">
        <v>5</v>
      </c>
      <c r="J6" s="3" t="s">
        <v>6</v>
      </c>
      <c r="K6" s="3" t="s">
        <v>7</v>
      </c>
      <c r="L6" s="3" t="s">
        <v>8</v>
      </c>
      <c r="M6" s="3" t="s">
        <v>9</v>
      </c>
      <c r="N6" s="3" t="s">
        <v>10</v>
      </c>
      <c r="O6" s="3" t="s">
        <v>11</v>
      </c>
      <c r="P6" s="3" t="s">
        <v>12</v>
      </c>
      <c r="Q6" s="3" t="s">
        <v>13</v>
      </c>
      <c r="R6" s="3" t="s">
        <v>14</v>
      </c>
      <c r="S6" s="3" t="s">
        <v>15</v>
      </c>
      <c r="T6" s="3" t="s">
        <v>16</v>
      </c>
      <c r="U6" s="3" t="s">
        <v>17</v>
      </c>
      <c r="V6" s="3" t="s">
        <v>18</v>
      </c>
      <c r="W6" s="3" t="s">
        <v>19</v>
      </c>
      <c r="X6" s="3" t="s">
        <v>20</v>
      </c>
      <c r="Y6" s="3" t="s">
        <v>21</v>
      </c>
      <c r="Z6" s="3" t="s">
        <v>22</v>
      </c>
      <c r="AA6" s="3" t="s">
        <v>23</v>
      </c>
      <c r="AB6" s="3" t="s">
        <v>24</v>
      </c>
      <c r="AC6" s="3" t="s">
        <v>25</v>
      </c>
      <c r="AD6" s="3" t="s">
        <v>26</v>
      </c>
      <c r="AE6" s="3" t="s">
        <v>27</v>
      </c>
      <c r="AF6" s="3" t="s">
        <v>28</v>
      </c>
      <c r="AG6" s="3" t="s">
        <v>29</v>
      </c>
      <c r="AH6" s="3" t="s">
        <v>112</v>
      </c>
      <c r="AI6" s="88" t="s">
        <v>36</v>
      </c>
      <c r="AJ6" s="65" t="s">
        <v>38</v>
      </c>
      <c r="AK6" s="66" t="s">
        <v>37</v>
      </c>
      <c r="AL6" s="67" t="s">
        <v>31</v>
      </c>
      <c r="AM6" s="48" t="s">
        <v>39</v>
      </c>
      <c r="AN6" s="5"/>
    </row>
    <row r="7" spans="1:40" s="6" customFormat="1" ht="16.5" customHeight="1" x14ac:dyDescent="0.25">
      <c r="B7" s="25"/>
      <c r="C7" s="47" t="str">
        <f>IFERROR(VLOOKUP(PresençasEmNovembro[[#This Row],[ID de Estudante]],ListaDeAlunos[],18,FALSE),"")</f>
        <v/>
      </c>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4"/>
      <c r="AG7" s="22"/>
      <c r="AH7" s="22"/>
      <c r="AI7" s="7">
        <f>COUNTIF(PresençasEmNovembro[[#This Row],[1]:[ ]],Código1)</f>
        <v>0</v>
      </c>
      <c r="AJ7" s="35">
        <f>COUNTIF(PresençasEmNovembro[[#This Row],[1]:[ ]],Código2)</f>
        <v>0</v>
      </c>
      <c r="AK7" s="35">
        <f>COUNTIF(PresençasEmNovembro[[#This Row],[1]:[ ]],Código3)</f>
        <v>0</v>
      </c>
      <c r="AL7" s="35">
        <f>COUNTIF(PresençasEmNovembro[[#This Row],[1]:[ ]],Código4)</f>
        <v>0</v>
      </c>
      <c r="AM7" s="7">
        <f>SUM(PresençasEmNovembro[[#This Row],[E]:[U]])</f>
        <v>0</v>
      </c>
      <c r="AN7" s="5"/>
    </row>
    <row r="8" spans="1:40" s="6" customFormat="1" ht="16.5" customHeight="1" x14ac:dyDescent="0.25">
      <c r="B8" s="25"/>
      <c r="C8" s="19" t="str">
        <f>IFERROR(VLOOKUP(PresençasEmNovembro[[#This Row],[ID de Estudante]],ListaDeAlunos[],18,FALSE),"")</f>
        <v/>
      </c>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4"/>
      <c r="AG8" s="22"/>
      <c r="AH8" s="22"/>
      <c r="AI8" s="7">
        <f>COUNTIF(PresençasEmNovembro[[#This Row],[1]:[ ]],Código1)</f>
        <v>0</v>
      </c>
      <c r="AJ8" s="35">
        <f>COUNTIF(PresençasEmNovembro[[#This Row],[1]:[ ]],Código2)</f>
        <v>0</v>
      </c>
      <c r="AK8" s="35">
        <f>COUNTIF(PresençasEmNovembro[[#This Row],[1]:[ ]],Código3)</f>
        <v>0</v>
      </c>
      <c r="AL8" s="35">
        <f>COUNTIF(PresençasEmNovembro[[#This Row],[1]:[ ]],Código4)</f>
        <v>0</v>
      </c>
      <c r="AM8" s="7">
        <f>SUM(PresençasEmNovembro[[#This Row],[E]:[U]])</f>
        <v>0</v>
      </c>
      <c r="AN8" s="5"/>
    </row>
    <row r="9" spans="1:40" s="1" customFormat="1" ht="16.5" customHeight="1" x14ac:dyDescent="0.25">
      <c r="B9" s="25"/>
      <c r="C9" s="19" t="str">
        <f>IFERROR(VLOOKUP(PresençasEmNovembro[[#This Row],[ID de Estudante]],ListaDeAlunos[],18,FALSE),"")</f>
        <v/>
      </c>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4"/>
      <c r="AG9" s="22"/>
      <c r="AH9" s="22"/>
      <c r="AI9" s="7">
        <f>COUNTIF(PresençasEmNovembro[[#This Row],[1]:[ ]],Código1)</f>
        <v>0</v>
      </c>
      <c r="AJ9" s="35">
        <f>COUNTIF(PresençasEmNovembro[[#This Row],[1]:[ ]],Código2)</f>
        <v>0</v>
      </c>
      <c r="AK9" s="35">
        <f>COUNTIF(PresençasEmNovembro[[#This Row],[1]:[ ]],Código3)</f>
        <v>0</v>
      </c>
      <c r="AL9" s="35">
        <f>COUNTIF(PresençasEmNovembro[[#This Row],[1]:[ ]],Código4)</f>
        <v>0</v>
      </c>
      <c r="AM9" s="7">
        <f>SUM(PresençasEmNovembro[[#This Row],[E]:[U]])</f>
        <v>0</v>
      </c>
      <c r="AN9" s="8"/>
    </row>
    <row r="10" spans="1:40" ht="16.5" customHeight="1" x14ac:dyDescent="0.25">
      <c r="B10" s="25"/>
      <c r="C10" s="19" t="str">
        <f>IFERROR(VLOOKUP(PresençasEmNovembro[[#This Row],[ID de Estudante]],ListaDeAlunos[],18,FALSE),"")</f>
        <v/>
      </c>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4"/>
      <c r="AG10" s="22"/>
      <c r="AH10" s="22"/>
      <c r="AI10" s="7">
        <f>COUNTIF(PresençasEmNovembro[[#This Row],[1]:[ ]],Código1)</f>
        <v>0</v>
      </c>
      <c r="AJ10" s="35">
        <f>COUNTIF(PresençasEmNovembro[[#This Row],[1]:[ ]],Código2)</f>
        <v>0</v>
      </c>
      <c r="AK10" s="35">
        <f>COUNTIF(PresençasEmNovembro[[#This Row],[1]:[ ]],Código3)</f>
        <v>0</v>
      </c>
      <c r="AL10" s="35">
        <f>COUNTIF(PresençasEmNovembro[[#This Row],[1]:[ ]],Código4)</f>
        <v>0</v>
      </c>
      <c r="AM10" s="7">
        <f>SUM(PresençasEmNovembro[[#This Row],[E]:[U]])</f>
        <v>0</v>
      </c>
      <c r="AN10" s="10"/>
    </row>
    <row r="11" spans="1:40" ht="16.5" customHeight="1" x14ac:dyDescent="0.25">
      <c r="B11" s="25"/>
      <c r="C11" s="19" t="str">
        <f>IFERROR(VLOOKUP(PresençasEmNovembro[[#This Row],[ID de Estudante]],ListaDeAlunos[],18,FALSE),"")</f>
        <v/>
      </c>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4"/>
      <c r="AG11" s="22"/>
      <c r="AH11" s="22"/>
      <c r="AI11" s="7">
        <f>COUNTIF(PresençasEmNovembro[[#This Row],[1]:[ ]],Código1)</f>
        <v>0</v>
      </c>
      <c r="AJ11" s="35">
        <f>COUNTIF(PresençasEmNovembro[[#This Row],[1]:[ ]],Código2)</f>
        <v>0</v>
      </c>
      <c r="AK11" s="35">
        <f>COUNTIF(PresençasEmNovembro[[#This Row],[1]:[ ]],Código3)</f>
        <v>0</v>
      </c>
      <c r="AL11" s="35">
        <f>COUNTIF(PresençasEmNovembro[[#This Row],[1]:[ ]],Código4)</f>
        <v>0</v>
      </c>
      <c r="AM11" s="7">
        <f>SUM(PresençasEmNovembro[[#This Row],[E]:[U]])</f>
        <v>0</v>
      </c>
      <c r="AN11" s="10"/>
    </row>
    <row r="12" spans="1:40" ht="16.5" customHeight="1" x14ac:dyDescent="0.25">
      <c r="B12" s="106"/>
      <c r="C12" s="107" t="s">
        <v>113</v>
      </c>
      <c r="D12" s="108">
        <f>COUNTIF(PresençasEmNovembro[1],"U")+COUNTIF(PresençasEmNovembro[1],"E")</f>
        <v>0</v>
      </c>
      <c r="E12" s="108">
        <f>COUNTIF(PresençasEmNovembro[2],"U")+COUNTIF(PresençasEmNovembro[2],"E")</f>
        <v>0</v>
      </c>
      <c r="F12" s="108">
        <f>COUNTIF(PresençasEmNovembro[3],"U")+COUNTIF(PresençasEmNovembro[3],"E")</f>
        <v>0</v>
      </c>
      <c r="G12" s="108">
        <f>COUNTIF(PresençasEmNovembro[4],"U")+COUNTIF(PresençasEmNovembro[4],"E")</f>
        <v>0</v>
      </c>
      <c r="H12" s="108">
        <f>COUNTIF(PresençasEmNovembro[5],"U")+COUNTIF(PresençasEmNovembro[5],"E")</f>
        <v>0</v>
      </c>
      <c r="I12" s="108">
        <f>COUNTIF(PresençasEmNovembro[6],"U")+COUNTIF(PresençasEmNovembro[6],"E")</f>
        <v>0</v>
      </c>
      <c r="J12" s="108">
        <f>COUNTIF(PresençasEmNovembro[7],"U")+COUNTIF(PresençasEmNovembro[7],"E")</f>
        <v>0</v>
      </c>
      <c r="K12" s="108">
        <f>COUNTIF(PresençasEmNovembro[8],"U")+COUNTIF(PresençasEmNovembro[8],"E")</f>
        <v>0</v>
      </c>
      <c r="L12" s="108">
        <f>COUNTIF(PresençasEmNovembro[9],"U")+COUNTIF(PresençasEmNovembro[9],"E")</f>
        <v>0</v>
      </c>
      <c r="M12" s="108">
        <f>COUNTIF(PresençasEmNovembro[10],"U")+COUNTIF(PresençasEmNovembro[10],"E")</f>
        <v>0</v>
      </c>
      <c r="N12" s="108">
        <f>COUNTIF(PresençasEmNovembro[11],"U")+COUNTIF(PresençasEmNovembro[11],"E")</f>
        <v>0</v>
      </c>
      <c r="O12" s="108">
        <f>COUNTIF(PresençasEmNovembro[12],"U")+COUNTIF(PresençasEmNovembro[12],"E")</f>
        <v>0</v>
      </c>
      <c r="P12" s="108">
        <f>COUNTIF(PresençasEmNovembro[13],"U")+COUNTIF(PresençasEmNovembro[13],"E")</f>
        <v>0</v>
      </c>
      <c r="Q12" s="108">
        <f>COUNTIF(PresençasEmNovembro[14],"U")+COUNTIF(PresençasEmNovembro[14],"E")</f>
        <v>0</v>
      </c>
      <c r="R12" s="108">
        <f>COUNTIF(PresençasEmNovembro[15],"U")+COUNTIF(PresençasEmNovembro[15],"E")</f>
        <v>0</v>
      </c>
      <c r="S12" s="108">
        <f>COUNTIF(PresençasEmNovembro[16],"U")+COUNTIF(PresençasEmNovembro[16],"E")</f>
        <v>0</v>
      </c>
      <c r="T12" s="108">
        <f>COUNTIF(PresençasEmNovembro[17],"U")+COUNTIF(PresençasEmNovembro[17],"E")</f>
        <v>0</v>
      </c>
      <c r="U12" s="108">
        <f>COUNTIF(PresençasEmNovembro[18],"U")+COUNTIF(PresençasEmNovembro[18],"E")</f>
        <v>0</v>
      </c>
      <c r="V12" s="108">
        <f>COUNTIF(PresençasEmNovembro[19],"U")+COUNTIF(PresençasEmNovembro[19],"E")</f>
        <v>0</v>
      </c>
      <c r="W12" s="108">
        <f>COUNTIF(PresençasEmNovembro[20],"U")+COUNTIF(PresençasEmNovembro[20],"E")</f>
        <v>0</v>
      </c>
      <c r="X12" s="108">
        <f>COUNTIF(PresençasEmNovembro[21],"U")+COUNTIF(PresençasEmNovembro[21],"E")</f>
        <v>0</v>
      </c>
      <c r="Y12" s="108">
        <f>COUNTIF(PresençasEmNovembro[22],"U")+COUNTIF(PresençasEmNovembro[22],"E")</f>
        <v>0</v>
      </c>
      <c r="Z12" s="108">
        <f>COUNTIF(PresençasEmNovembro[23],"U")+COUNTIF(PresençasEmNovembro[23],"E")</f>
        <v>0</v>
      </c>
      <c r="AA12" s="108">
        <f>COUNTIF(PresençasEmNovembro[24],"U")+COUNTIF(PresençasEmNovembro[24],"E")</f>
        <v>0</v>
      </c>
      <c r="AB12" s="108">
        <f>COUNTIF(PresençasEmNovembro[25],"U")+COUNTIF(PresençasEmNovembro[25],"E")</f>
        <v>0</v>
      </c>
      <c r="AC12" s="108">
        <f>COUNTIF(PresençasEmNovembro[26],"U")+COUNTIF(PresençasEmNovembro[26],"E")</f>
        <v>0</v>
      </c>
      <c r="AD12" s="108">
        <f>COUNTIF(PresençasEmNovembro[27],"U")+COUNTIF(PresençasEmNovembro[27],"E")</f>
        <v>0</v>
      </c>
      <c r="AE12" s="108">
        <f>COUNTIF(PresençasEmNovembro[28],"U")+COUNTIF(PresençasEmNovembro[28],"E")</f>
        <v>0</v>
      </c>
      <c r="AF12" s="108">
        <f>COUNTIF(PresençasEmNovembro[29],"U")+COUNTIF(PresençasEmNovembro[29],"E")</f>
        <v>0</v>
      </c>
      <c r="AG12" s="108">
        <f>COUNTIF(PresençasEmNovembro[30],"U")+COUNTIF(PresençasEmNovembro[30],"E")</f>
        <v>0</v>
      </c>
      <c r="AH12" s="108">
        <f>COUNTIF(PresençasEmNovembro[[ ]],"U")+COUNTIF(PresençasEmNovembro[[ ]],"E")</f>
        <v>0</v>
      </c>
      <c r="AI12" s="108">
        <f>SUBTOTAL(109,PresençasEmNovembro[T])</f>
        <v>0</v>
      </c>
      <c r="AJ12" s="108">
        <f>SUBTOTAL(109,PresençasEmNovembro[E])</f>
        <v>0</v>
      </c>
      <c r="AK12" s="108">
        <f>SUBTOTAL(109,PresençasEmNovembro[U])</f>
        <v>0</v>
      </c>
      <c r="AL12" s="108">
        <f>SUBTOTAL(109,PresençasEmNovembro[P])</f>
        <v>0</v>
      </c>
      <c r="AM12" s="108">
        <f>SUBTOTAL(109,PresençasEmNovembro[Dias de Ausência])</f>
        <v>0</v>
      </c>
    </row>
    <row r="13" spans="1:40" ht="16.5" customHeight="1" x14ac:dyDescent="0.25"/>
    <row r="14" spans="1:40" ht="16.5" customHeight="1" x14ac:dyDescent="0.25"/>
    <row r="15" spans="1:40" ht="16.5" customHeight="1" x14ac:dyDescent="0.25"/>
    <row r="16" spans="1:40"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6.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sheetData>
  <sheetProtection formatCells="0" formatColumns="0" formatRows="0" insertColumns="0" insertRows="0" insertHyperlinks="0" deleteColumns="0" deleteRows="0" sort="0" autoFilter="0" pivotTables="0"/>
  <mergeCells count="1">
    <mergeCell ref="AI5:AM5"/>
  </mergeCells>
  <conditionalFormatting sqref="AM7:AM11">
    <cfRule type="dataBar" priority="6">
      <dataBar>
        <cfvo type="min"/>
        <cfvo type="num" val="31"/>
        <color theme="4"/>
      </dataBar>
      <extLst>
        <ext xmlns:x14="http://schemas.microsoft.com/office/spreadsheetml/2009/9/main" uri="{B025F937-C7B1-47D3-B67F-A62EFF666E3E}">
          <x14:id>{4EF7D5CF-EA6D-4C42-92A1-96F3633946CC}</x14:id>
        </ext>
      </extLst>
    </cfRule>
  </conditionalFormatting>
  <conditionalFormatting sqref="AG7:AI11">
    <cfRule type="expression" dxfId="709" priority="7" stopIfTrue="1">
      <formula>AG7=Código2</formula>
    </cfRule>
  </conditionalFormatting>
  <conditionalFormatting sqref="AG7:AH11">
    <cfRule type="expression" dxfId="708" priority="8" stopIfTrue="1">
      <formula>AG7=Código5</formula>
    </cfRule>
    <cfRule type="expression" dxfId="707" priority="9" stopIfTrue="1">
      <formula>AG7=Código4</formula>
    </cfRule>
    <cfRule type="expression" dxfId="706" priority="10" stopIfTrue="1">
      <formula>AG7=Código3</formula>
    </cfRule>
    <cfRule type="expression" dxfId="705" priority="11" stopIfTrue="1">
      <formula>AG7=Código1</formula>
    </cfRule>
  </conditionalFormatting>
  <conditionalFormatting sqref="D7:AF11">
    <cfRule type="expression" dxfId="704" priority="1" stopIfTrue="1">
      <formula>D7=Código2</formula>
    </cfRule>
  </conditionalFormatting>
  <conditionalFormatting sqref="D7:AF11">
    <cfRule type="expression" dxfId="703" priority="2" stopIfTrue="1">
      <formula>D7=Código5</formula>
    </cfRule>
    <cfRule type="expression" dxfId="702" priority="3" stopIfTrue="1">
      <formula>D7=Código4</formula>
    </cfRule>
    <cfRule type="expression" dxfId="701" priority="4" stopIfTrue="1">
      <formula>D7=Código3</formula>
    </cfRule>
    <cfRule type="expression" dxfId="700" priority="5" stopIfTrue="1">
      <formula>D7=Código1</formula>
    </cfRule>
  </conditionalFormatting>
  <dataValidations count="1">
    <dataValidation type="list" errorStyle="warning" allowBlank="1" showInputMessage="1" showErrorMessage="1" errorTitle="Ups!" error="O ID de Estudante que introduziu não está na folha da Lista de Estudantes. Pode clicar em Sim para usar os dados que introduziu, mas esse ID de Estudante não estará disponível na folha de Relatório de Presenças de Estudantes." sqref="B7:B11" xr:uid="{00000000-0002-0000-0500-000000000000}">
      <formula1>IDDeAluno</formula1>
    </dataValidation>
  </dataValidations>
  <printOptions horizontalCentered="1"/>
  <pageMargins left="0.5" right="0.5" top="0.75" bottom="0.75" header="0.3" footer="0.3"/>
  <pageSetup paperSize="9" scale="58" fitToHeight="0" orientation="landscape" verticalDpi="12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4EF7D5CF-EA6D-4C42-92A1-96F3633946CC}">
            <x14:dataBar minLength="0" maxLength="100" border="1" negativeBarBorderColorSameAsPositive="0">
              <x14:cfvo type="autoMin"/>
              <x14:cfvo type="num">
                <xm:f>31</xm:f>
              </x14:cfvo>
              <x14:borderColor theme="4"/>
              <x14:negativeFillColor rgb="FFFF0000"/>
              <x14:negativeBorderColor rgb="FFFF0000"/>
              <x14:axisColor rgb="FF000000"/>
            </x14:dataBar>
          </x14:cfRule>
          <xm:sqref>AM7:AM11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79998168889431442"/>
    <pageSetUpPr fitToPage="1"/>
  </sheetPr>
  <dimension ref="A1:AM264"/>
  <sheetViews>
    <sheetView showGridLines="0" zoomScaleNormal="100" workbookViewId="0">
      <pane xSplit="3" ySplit="6" topLeftCell="D7" activePane="bottomRight" state="frozen"/>
      <selection pane="topRight"/>
      <selection pane="bottomLeft"/>
      <selection pane="bottomRight" activeCell="U3" sqref="U3"/>
    </sheetView>
  </sheetViews>
  <sheetFormatPr defaultRowHeight="15" customHeight="1" x14ac:dyDescent="0.25"/>
  <cols>
    <col min="1" max="1" width="2.7109375" style="11" customWidth="1"/>
    <col min="2" max="2" width="15.7109375" style="11" bestFit="1" customWidth="1"/>
    <col min="3" max="3" width="28.85546875" style="12" customWidth="1"/>
    <col min="4" max="34" width="5" style="10" customWidth="1"/>
    <col min="35" max="35" width="4.7109375" style="9" customWidth="1"/>
    <col min="36" max="36" width="4.7109375" style="10" customWidth="1"/>
    <col min="37" max="38" width="4.7109375" style="11" customWidth="1"/>
    <col min="39" max="39" width="16.85546875" style="11" bestFit="1" customWidth="1"/>
    <col min="40" max="16384" width="9.140625" style="11"/>
  </cols>
  <sheetData>
    <row r="1" spans="1:39" s="1" customFormat="1" ht="42" customHeight="1" x14ac:dyDescent="0.25">
      <c r="A1" s="38" t="s">
        <v>88</v>
      </c>
      <c r="B1" s="39"/>
      <c r="C1" s="39"/>
      <c r="D1" s="40"/>
      <c r="E1" s="40"/>
      <c r="F1" s="40"/>
      <c r="G1" s="40"/>
      <c r="H1" s="40"/>
      <c r="I1" s="40"/>
      <c r="J1" s="40"/>
      <c r="K1" s="40"/>
      <c r="L1" s="40"/>
      <c r="M1" s="40"/>
      <c r="N1" s="40"/>
      <c r="O1" s="40"/>
      <c r="P1" s="40"/>
      <c r="Q1" s="40"/>
      <c r="R1" s="40"/>
      <c r="S1" s="40"/>
      <c r="T1" s="40"/>
      <c r="U1" s="40"/>
      <c r="V1" s="40"/>
      <c r="W1" s="40"/>
      <c r="X1" s="40"/>
      <c r="Y1" s="40"/>
      <c r="Z1" s="40"/>
      <c r="AA1" s="40"/>
      <c r="AB1" s="40"/>
      <c r="AC1" s="39"/>
      <c r="AD1" s="39"/>
      <c r="AE1" s="39"/>
      <c r="AF1" s="39"/>
      <c r="AG1" s="41"/>
      <c r="AH1" s="39"/>
      <c r="AI1" s="39"/>
      <c r="AJ1" s="42"/>
      <c r="AK1" s="39"/>
      <c r="AL1" s="55" t="s">
        <v>71</v>
      </c>
      <c r="AM1" s="56">
        <f>CalendárioAnual</f>
        <v>2018</v>
      </c>
    </row>
    <row r="2" spans="1:39" customFormat="1" ht="13.5" x14ac:dyDescent="0.25"/>
    <row r="3" spans="1:39" s="30" customFormat="1" ht="12.75" customHeight="1" x14ac:dyDescent="0.25">
      <c r="C3" s="45" t="str">
        <f>TextoColorKey</f>
        <v xml:space="preserve">CHAVE DE CORES </v>
      </c>
      <c r="D3" s="49" t="str">
        <f>Código1</f>
        <v>T</v>
      </c>
      <c r="E3" s="64" t="str">
        <f>Código1Texto</f>
        <v>Atrasado</v>
      </c>
      <c r="F3" s="54"/>
      <c r="H3" s="50" t="str">
        <f>Código2</f>
        <v>E</v>
      </c>
      <c r="I3" s="54" t="str">
        <f>Código2Texto</f>
        <v>Justificado</v>
      </c>
      <c r="L3" s="51" t="str">
        <f>Código3</f>
        <v>U</v>
      </c>
      <c r="M3" s="54" t="str">
        <f>Código3Texto</f>
        <v>Não justificado</v>
      </c>
      <c r="P3" s="52" t="str">
        <f>Código4</f>
        <v>P</v>
      </c>
      <c r="Q3" s="54" t="str">
        <f>Código4Texto</f>
        <v>Presente</v>
      </c>
      <c r="T3" s="53" t="str">
        <f>Código5</f>
        <v>N</v>
      </c>
      <c r="U3" s="54" t="str">
        <f>Código5Texto</f>
        <v>Não há Escola</v>
      </c>
      <c r="W3"/>
      <c r="X3"/>
      <c r="Y3"/>
      <c r="AD3" s="29"/>
      <c r="AE3" s="29"/>
      <c r="AH3" s="31"/>
      <c r="AI3" s="32"/>
      <c r="AK3" s="33"/>
    </row>
    <row r="4" spans="1:39" customFormat="1" ht="16.5" customHeight="1" x14ac:dyDescent="0.25"/>
    <row r="5" spans="1:39" s="2" customFormat="1" ht="18" customHeight="1" x14ac:dyDescent="0.3">
      <c r="B5" s="58">
        <f>DATE(CalendárioAnual+1,1,1)</f>
        <v>43466</v>
      </c>
      <c r="C5" s="57"/>
      <c r="D5" s="43" t="str">
        <f>TEXT(WEEKDAY(DATE(CalendárioAnual+1,1,1),1),"ddd")</f>
        <v>ter</v>
      </c>
      <c r="E5" s="43" t="str">
        <f>TEXT(WEEKDAY(DATE(CalendárioAnual+1,1,2),1),"ddd")</f>
        <v>qua</v>
      </c>
      <c r="F5" s="43" t="str">
        <f>TEXT(WEEKDAY(DATE(CalendárioAnual+1,1,3),1),"ddd")</f>
        <v>qui</v>
      </c>
      <c r="G5" s="43" t="str">
        <f>TEXT(WEEKDAY(DATE(CalendárioAnual+1,1,4),1),"ddd")</f>
        <v>sex</v>
      </c>
      <c r="H5" s="43" t="str">
        <f>TEXT(WEEKDAY(DATE(CalendárioAnual+1,1,5),1),"ddd")</f>
        <v>sáb</v>
      </c>
      <c r="I5" s="43" t="str">
        <f>TEXT(WEEKDAY(DATE(CalendárioAnual+1,1,6),1),"ddd")</f>
        <v>dom</v>
      </c>
      <c r="J5" s="43" t="str">
        <f>TEXT(WEEKDAY(DATE(CalendárioAnual+1,1,7),1),"ddd")</f>
        <v>seg</v>
      </c>
      <c r="K5" s="43" t="str">
        <f>TEXT(WEEKDAY(DATE(CalendárioAnual+1,1,8),1),"ddd")</f>
        <v>ter</v>
      </c>
      <c r="L5" s="43" t="str">
        <f>TEXT(WEEKDAY(DATE(CalendárioAnual+1,1,9),1),"ddd")</f>
        <v>qua</v>
      </c>
      <c r="M5" s="43" t="str">
        <f>TEXT(WEEKDAY(DATE(CalendárioAnual+1,1,10),1),"ddd")</f>
        <v>qui</v>
      </c>
      <c r="N5" s="43" t="str">
        <f>TEXT(WEEKDAY(DATE(CalendárioAnual+1,1,11),1),"ddd")</f>
        <v>sex</v>
      </c>
      <c r="O5" s="43" t="str">
        <f>TEXT(WEEKDAY(DATE(CalendárioAnual+1,1,12),1),"ddd")</f>
        <v>sáb</v>
      </c>
      <c r="P5" s="43" t="str">
        <f>TEXT(WEEKDAY(DATE(CalendárioAnual+1,1,13),1),"ddd")</f>
        <v>dom</v>
      </c>
      <c r="Q5" s="43" t="str">
        <f>TEXT(WEEKDAY(DATE(CalendárioAnual+1,1,14),1),"ddd")</f>
        <v>seg</v>
      </c>
      <c r="R5" s="43" t="str">
        <f>TEXT(WEEKDAY(DATE(CalendárioAnual+1,1,15),1),"ddd")</f>
        <v>ter</v>
      </c>
      <c r="S5" s="43" t="str">
        <f>TEXT(WEEKDAY(DATE(CalendárioAnual+1,1,16),1),"ddd")</f>
        <v>qua</v>
      </c>
      <c r="T5" s="43" t="str">
        <f>TEXT(WEEKDAY(DATE(CalendárioAnual+1,1,17),1),"ddd")</f>
        <v>qui</v>
      </c>
      <c r="U5" s="43" t="str">
        <f>TEXT(WEEKDAY(DATE(CalendárioAnual+1,1,18),1),"ddd")</f>
        <v>sex</v>
      </c>
      <c r="V5" s="43" t="str">
        <f>TEXT(WEEKDAY(DATE(CalendárioAnual+1,1,19),1),"ddd")</f>
        <v>sáb</v>
      </c>
      <c r="W5" s="43" t="str">
        <f>TEXT(WEEKDAY(DATE(CalendárioAnual+1,1,20),1),"ddd")</f>
        <v>dom</v>
      </c>
      <c r="X5" s="43" t="str">
        <f>TEXT(WEEKDAY(DATE(CalendárioAnual+1,1,21),1),"ddd")</f>
        <v>seg</v>
      </c>
      <c r="Y5" s="43" t="str">
        <f>TEXT(WEEKDAY(DATE(CalendárioAnual+1,1,22),1),"ddd")</f>
        <v>ter</v>
      </c>
      <c r="Z5" s="43" t="str">
        <f>TEXT(WEEKDAY(DATE(CalendárioAnual+1,1,23),1),"ddd")</f>
        <v>qua</v>
      </c>
      <c r="AA5" s="43" t="str">
        <f>TEXT(WEEKDAY(DATE(CalendárioAnual+1,1,24),1),"ddd")</f>
        <v>qui</v>
      </c>
      <c r="AB5" s="43" t="str">
        <f>TEXT(WEEKDAY(DATE(CalendárioAnual+1,1,25),1),"ddd")</f>
        <v>sex</v>
      </c>
      <c r="AC5" s="43" t="str">
        <f>TEXT(WEEKDAY(DATE(CalendárioAnual+1,1,26),1),"ddd")</f>
        <v>sáb</v>
      </c>
      <c r="AD5" s="43" t="str">
        <f>TEXT(WEEKDAY(DATE(CalendárioAnual+1,1,27),1),"ddd")</f>
        <v>dom</v>
      </c>
      <c r="AE5" s="43" t="str">
        <f>TEXT(WEEKDAY(DATE(CalendárioAnual+1,1,28),1),"ddd")</f>
        <v>seg</v>
      </c>
      <c r="AF5" s="43" t="str">
        <f>TEXT(WEEKDAY(DATE(CalendárioAnual+1,1,29),1),"ddd")</f>
        <v>ter</v>
      </c>
      <c r="AG5" s="43" t="str">
        <f>TEXT(WEEKDAY(DATE(CalendárioAnual+1,1,30),1),"ddd")</f>
        <v>qua</v>
      </c>
      <c r="AH5" s="43" t="str">
        <f>TEXT(WEEKDAY(DATE(CalendárioAnual+1,1,31),1),"ddd")</f>
        <v>qui</v>
      </c>
      <c r="AI5" s="119" t="s">
        <v>40</v>
      </c>
      <c r="AJ5" s="119"/>
      <c r="AK5" s="119"/>
      <c r="AL5" s="119"/>
      <c r="AM5" s="119"/>
    </row>
    <row r="6" spans="1:39" ht="14.25" customHeight="1" x14ac:dyDescent="0.25">
      <c r="B6" s="26" t="s">
        <v>34</v>
      </c>
      <c r="C6" s="27" t="s">
        <v>35</v>
      </c>
      <c r="D6" s="28" t="s">
        <v>0</v>
      </c>
      <c r="E6" s="28" t="s">
        <v>1</v>
      </c>
      <c r="F6" s="28" t="s">
        <v>2</v>
      </c>
      <c r="G6" s="28" t="s">
        <v>3</v>
      </c>
      <c r="H6" s="28" t="s">
        <v>4</v>
      </c>
      <c r="I6" s="28" t="s">
        <v>5</v>
      </c>
      <c r="J6" s="28" t="s">
        <v>6</v>
      </c>
      <c r="K6" s="28" t="s">
        <v>7</v>
      </c>
      <c r="L6" s="28" t="s">
        <v>8</v>
      </c>
      <c r="M6" s="28" t="s">
        <v>9</v>
      </c>
      <c r="N6" s="28" t="s">
        <v>10</v>
      </c>
      <c r="O6" s="28" t="s">
        <v>11</v>
      </c>
      <c r="P6" s="28" t="s">
        <v>12</v>
      </c>
      <c r="Q6" s="28" t="s">
        <v>13</v>
      </c>
      <c r="R6" s="28" t="s">
        <v>14</v>
      </c>
      <c r="S6" s="28" t="s">
        <v>15</v>
      </c>
      <c r="T6" s="28" t="s">
        <v>16</v>
      </c>
      <c r="U6" s="28" t="s">
        <v>17</v>
      </c>
      <c r="V6" s="28" t="s">
        <v>18</v>
      </c>
      <c r="W6" s="28" t="s">
        <v>19</v>
      </c>
      <c r="X6" s="28" t="s">
        <v>20</v>
      </c>
      <c r="Y6" s="28" t="s">
        <v>21</v>
      </c>
      <c r="Z6" s="28" t="s">
        <v>22</v>
      </c>
      <c r="AA6" s="28" t="s">
        <v>23</v>
      </c>
      <c r="AB6" s="28" t="s">
        <v>24</v>
      </c>
      <c r="AC6" s="28" t="s">
        <v>25</v>
      </c>
      <c r="AD6" s="28" t="s">
        <v>26</v>
      </c>
      <c r="AE6" s="28" t="s">
        <v>27</v>
      </c>
      <c r="AF6" s="28" t="s">
        <v>28</v>
      </c>
      <c r="AG6" s="28" t="s">
        <v>29</v>
      </c>
      <c r="AH6" s="28" t="s">
        <v>30</v>
      </c>
      <c r="AI6" s="68" t="s">
        <v>36</v>
      </c>
      <c r="AJ6" s="37" t="s">
        <v>38</v>
      </c>
      <c r="AK6" s="36" t="s">
        <v>37</v>
      </c>
      <c r="AL6" s="34" t="s">
        <v>31</v>
      </c>
      <c r="AM6" t="s">
        <v>39</v>
      </c>
    </row>
    <row r="7" spans="1:39" ht="16.5" customHeight="1" x14ac:dyDescent="0.25">
      <c r="B7" s="25"/>
      <c r="C7" s="20" t="str">
        <f>IFERROR(VLOOKUP(PresençasEmJaneiro[[#This Row],[ID de Estudante]],ListaDeAlunos[],18,FALSE),"")</f>
        <v/>
      </c>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4"/>
      <c r="AG7" s="3"/>
      <c r="AH7" s="3"/>
      <c r="AI7" s="35">
        <f>COUNTIF(PresençasEmJaneiro[[#This Row],[1]:[31]],Código1)</f>
        <v>0</v>
      </c>
      <c r="AJ7" s="35">
        <f>COUNTIF(PresençasEmJaneiro[[#This Row],[1]:[31]],Código2)</f>
        <v>0</v>
      </c>
      <c r="AK7" s="35">
        <f>COUNTIF(PresençasEmJaneiro[[#This Row],[1]:[31]],Código3)</f>
        <v>0</v>
      </c>
      <c r="AL7" s="35">
        <f>COUNTIF(PresençasEmJaneiro[[#This Row],[1]:[31]],Código4)</f>
        <v>0</v>
      </c>
      <c r="AM7" s="7">
        <f>SUM(PresençasEmJaneiro[[#This Row],[E]:[U]])</f>
        <v>0</v>
      </c>
    </row>
    <row r="8" spans="1:39" ht="16.5" customHeight="1" x14ac:dyDescent="0.25">
      <c r="B8" s="25"/>
      <c r="C8" s="21" t="str">
        <f>IFERROR(VLOOKUP(PresençasEmJaneiro[[#This Row],[ID de Estudante]],ListaDeAlunos[],18,FALSE),"")</f>
        <v/>
      </c>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4"/>
      <c r="AG8" s="3"/>
      <c r="AH8" s="3"/>
      <c r="AI8" s="35">
        <f>COUNTIF(PresençasEmJaneiro[[#This Row],[1]:[31]],Código1)</f>
        <v>0</v>
      </c>
      <c r="AJ8" s="35">
        <f>COUNTIF(PresençasEmJaneiro[[#This Row],[1]:[31]],Código2)</f>
        <v>0</v>
      </c>
      <c r="AK8" s="35">
        <f>COUNTIF(PresençasEmJaneiro[[#This Row],[1]:[31]],Código3)</f>
        <v>0</v>
      </c>
      <c r="AL8" s="35">
        <f>COUNTIF(PresençasEmJaneiro[[#This Row],[1]:[31]],Código4)</f>
        <v>0</v>
      </c>
      <c r="AM8" s="7">
        <f>SUM(PresençasEmJaneiro[[#This Row],[E]:[U]])</f>
        <v>0</v>
      </c>
    </row>
    <row r="9" spans="1:39" ht="16.5" customHeight="1" x14ac:dyDescent="0.25">
      <c r="B9" s="25"/>
      <c r="C9" s="21" t="str">
        <f>IFERROR(VLOOKUP(PresençasEmJaneiro[[#This Row],[ID de Estudante]],ListaDeAlunos[],18,FALSE),"")</f>
        <v/>
      </c>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4"/>
      <c r="AG9" s="3"/>
      <c r="AH9" s="3"/>
      <c r="AI9" s="35">
        <f>COUNTIF(PresençasEmJaneiro[[#This Row],[1]:[31]],Código1)</f>
        <v>0</v>
      </c>
      <c r="AJ9" s="35">
        <f>COUNTIF(PresençasEmJaneiro[[#This Row],[1]:[31]],Código2)</f>
        <v>0</v>
      </c>
      <c r="AK9" s="35">
        <f>COUNTIF(PresençasEmJaneiro[[#This Row],[1]:[31]],Código3)</f>
        <v>0</v>
      </c>
      <c r="AL9" s="35">
        <f>COUNTIF(PresençasEmJaneiro[[#This Row],[1]:[31]],Código4)</f>
        <v>0</v>
      </c>
      <c r="AM9" s="7">
        <f>SUM(PresençasEmJaneiro[[#This Row],[E]:[U]])</f>
        <v>0</v>
      </c>
    </row>
    <row r="10" spans="1:39" ht="16.5" customHeight="1" x14ac:dyDescent="0.25">
      <c r="B10" s="25"/>
      <c r="C10" s="21" t="str">
        <f>IFERROR(VLOOKUP(PresençasEmJaneiro[[#This Row],[ID de Estudante]],ListaDeAlunos[],18,FALSE),"")</f>
        <v/>
      </c>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4"/>
      <c r="AG10" s="3"/>
      <c r="AH10" s="3"/>
      <c r="AI10" s="35">
        <f>COUNTIF(PresençasEmJaneiro[[#This Row],[1]:[31]],Código1)</f>
        <v>0</v>
      </c>
      <c r="AJ10" s="35">
        <f>COUNTIF(PresençasEmJaneiro[[#This Row],[1]:[31]],Código2)</f>
        <v>0</v>
      </c>
      <c r="AK10" s="35">
        <f>COUNTIF(PresençasEmJaneiro[[#This Row],[1]:[31]],Código3)</f>
        <v>0</v>
      </c>
      <c r="AL10" s="35">
        <f>COUNTIF(PresençasEmJaneiro[[#This Row],[1]:[31]],Código4)</f>
        <v>0</v>
      </c>
      <c r="AM10" s="7">
        <f>SUM(PresençasEmJaneiro[[#This Row],[E]:[U]])</f>
        <v>0</v>
      </c>
    </row>
    <row r="11" spans="1:39" ht="16.5" customHeight="1" x14ac:dyDescent="0.25">
      <c r="B11" s="25"/>
      <c r="C11" s="21" t="str">
        <f>IFERROR(VLOOKUP(PresençasEmJaneiro[[#This Row],[ID de Estudante]],ListaDeAlunos[],18,FALSE),"")</f>
        <v/>
      </c>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4"/>
      <c r="AG11" s="3"/>
      <c r="AH11" s="3"/>
      <c r="AI11" s="35">
        <f>COUNTIF(PresençasEmJaneiro[[#This Row],[1]:[31]],Código1)</f>
        <v>0</v>
      </c>
      <c r="AJ11" s="35">
        <f>COUNTIF(PresençasEmJaneiro[[#This Row],[1]:[31]],Código2)</f>
        <v>0</v>
      </c>
      <c r="AK11" s="35">
        <f>COUNTIF(PresençasEmJaneiro[[#This Row],[1]:[31]],Código3)</f>
        <v>0</v>
      </c>
      <c r="AL11" s="35">
        <f>COUNTIF(PresençasEmJaneiro[[#This Row],[1]:[31]],Código4)</f>
        <v>0</v>
      </c>
      <c r="AM11" s="7">
        <f>SUM(PresençasEmJaneiro[[#This Row],[E]:[U]])</f>
        <v>0</v>
      </c>
    </row>
    <row r="12" spans="1:39" ht="16.5" customHeight="1" x14ac:dyDescent="0.25">
      <c r="B12" s="106"/>
      <c r="C12" s="107" t="s">
        <v>113</v>
      </c>
      <c r="D12" s="108">
        <f>COUNTIF(PresençasEmJaneiro[1],"U")+COUNTIF(PresençasEmJaneiro[1],"E")</f>
        <v>0</v>
      </c>
      <c r="E12" s="108">
        <f>COUNTIF(PresençasEmJaneiro[2],"U")+COUNTIF(PresençasEmJaneiro[2],"E")</f>
        <v>0</v>
      </c>
      <c r="F12" s="108">
        <f>COUNTIF(PresençasEmJaneiro[3],"U")+COUNTIF(PresençasEmJaneiro[3],"E")</f>
        <v>0</v>
      </c>
      <c r="G12" s="108">
        <f>COUNTIF(PresençasEmJaneiro[4],"U")+COUNTIF(PresençasEmJaneiro[4],"E")</f>
        <v>0</v>
      </c>
      <c r="H12" s="108">
        <f>COUNTIF(PresençasEmJaneiro[5],"U")+COUNTIF(PresençasEmJaneiro[5],"E")</f>
        <v>0</v>
      </c>
      <c r="I12" s="108">
        <f>COUNTIF(PresençasEmJaneiro[6],"U")+COUNTIF(PresençasEmJaneiro[6],"E")</f>
        <v>0</v>
      </c>
      <c r="J12" s="108">
        <f>COUNTIF(PresençasEmJaneiro[7],"U")+COUNTIF(PresençasEmJaneiro[7],"E")</f>
        <v>0</v>
      </c>
      <c r="K12" s="108">
        <f>COUNTIF(PresençasEmJaneiro[8],"U")+COUNTIF(PresençasEmJaneiro[8],"E")</f>
        <v>0</v>
      </c>
      <c r="L12" s="108">
        <f>COUNTIF(PresençasEmJaneiro[9],"U")+COUNTIF(PresençasEmJaneiro[9],"E")</f>
        <v>0</v>
      </c>
      <c r="M12" s="108">
        <f>COUNTIF(PresençasEmJaneiro[10],"U")+COUNTIF(PresençasEmJaneiro[10],"E")</f>
        <v>0</v>
      </c>
      <c r="N12" s="108">
        <f>COUNTIF(PresençasEmJaneiro[11],"U")+COUNTIF(PresençasEmJaneiro[11],"E")</f>
        <v>0</v>
      </c>
      <c r="O12" s="108">
        <f>COUNTIF(PresençasEmJaneiro[12],"U")+COUNTIF(PresençasEmJaneiro[12],"E")</f>
        <v>0</v>
      </c>
      <c r="P12" s="108">
        <f>COUNTIF(PresençasEmJaneiro[13],"U")+COUNTIF(PresençasEmJaneiro[13],"E")</f>
        <v>0</v>
      </c>
      <c r="Q12" s="108">
        <f>COUNTIF(PresençasEmJaneiro[14],"U")+COUNTIF(PresençasEmJaneiro[14],"E")</f>
        <v>0</v>
      </c>
      <c r="R12" s="108">
        <f>COUNTIF(PresençasEmJaneiro[15],"U")+COUNTIF(PresençasEmJaneiro[15],"E")</f>
        <v>0</v>
      </c>
      <c r="S12" s="108">
        <f>COUNTIF(PresençasEmJaneiro[16],"U")+COUNTIF(PresençasEmJaneiro[16],"E")</f>
        <v>0</v>
      </c>
      <c r="T12" s="108">
        <f>COUNTIF(PresençasEmJaneiro[17],"U")+COUNTIF(PresençasEmJaneiro[17],"E")</f>
        <v>0</v>
      </c>
      <c r="U12" s="108">
        <f>COUNTIF(PresençasEmJaneiro[18],"U")+COUNTIF(PresençasEmJaneiro[18],"E")</f>
        <v>0</v>
      </c>
      <c r="V12" s="108">
        <f>COUNTIF(PresençasEmJaneiro[19],"U")+COUNTIF(PresençasEmJaneiro[19],"E")</f>
        <v>0</v>
      </c>
      <c r="W12" s="108">
        <f>COUNTIF(PresençasEmJaneiro[20],"U")+COUNTIF(PresençasEmJaneiro[20],"E")</f>
        <v>0</v>
      </c>
      <c r="X12" s="108">
        <f>COUNTIF(PresençasEmJaneiro[21],"U")+COUNTIF(PresençasEmJaneiro[21],"E")</f>
        <v>0</v>
      </c>
      <c r="Y12" s="108">
        <f>COUNTIF(PresençasEmJaneiro[22],"U")+COUNTIF(PresençasEmJaneiro[22],"E")</f>
        <v>0</v>
      </c>
      <c r="Z12" s="108">
        <f>COUNTIF(PresençasEmJaneiro[23],"U")+COUNTIF(PresençasEmJaneiro[23],"E")</f>
        <v>0</v>
      </c>
      <c r="AA12" s="108">
        <f>COUNTIF(PresençasEmJaneiro[24],"U")+COUNTIF(PresençasEmJaneiro[24],"E")</f>
        <v>0</v>
      </c>
      <c r="AB12" s="108">
        <f>COUNTIF(PresençasEmJaneiro[25],"U")+COUNTIF(PresençasEmJaneiro[25],"E")</f>
        <v>0</v>
      </c>
      <c r="AC12" s="108">
        <f>COUNTIF(PresençasEmJaneiro[26],"U")+COUNTIF(PresençasEmJaneiro[26],"E")</f>
        <v>0</v>
      </c>
      <c r="AD12" s="108">
        <f>COUNTIF(PresençasEmJaneiro[27],"U")+COUNTIF(PresençasEmJaneiro[27],"E")</f>
        <v>0</v>
      </c>
      <c r="AE12" s="108">
        <f>COUNTIF(PresençasEmJaneiro[28],"U")+COUNTIF(PresençasEmJaneiro[28],"E")</f>
        <v>0</v>
      </c>
      <c r="AF12" s="108">
        <f>COUNTIF(PresençasEmJaneiro[29],"U")+COUNTIF(PresençasEmJaneiro[29],"E")</f>
        <v>0</v>
      </c>
      <c r="AG12" s="108"/>
      <c r="AH12" s="108"/>
      <c r="AI12" s="108">
        <f>SUBTOTAL(109,PresençasEmJaneiro[T])</f>
        <v>0</v>
      </c>
      <c r="AJ12" s="108">
        <f>SUBTOTAL(109,PresençasEmJaneiro[E])</f>
        <v>0</v>
      </c>
      <c r="AK12" s="108">
        <f>SUBTOTAL(109,PresençasEmJaneiro[U])</f>
        <v>0</v>
      </c>
      <c r="AL12" s="108">
        <f>SUBTOTAL(109,PresençasEmJaneiro[P])</f>
        <v>0</v>
      </c>
      <c r="AM12" s="108">
        <f>SUBTOTAL(109,PresençasEmJaneiro[Dias de Ausência])</f>
        <v>0</v>
      </c>
    </row>
    <row r="13" spans="1:39" ht="16.5" customHeight="1" x14ac:dyDescent="0.25"/>
    <row r="14" spans="1:39" ht="16.5" customHeight="1" x14ac:dyDescent="0.25"/>
    <row r="15" spans="1:39" ht="16.5" customHeight="1" x14ac:dyDescent="0.25"/>
    <row r="16" spans="1:39"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sheetData>
  <sheetProtection formatCells="0" formatColumns="0" formatRows="0" insertColumns="0" insertRows="0" insertHyperlinks="0" deleteColumns="0" deleteRows="0" sort="0" autoFilter="0" pivotTables="0"/>
  <mergeCells count="1">
    <mergeCell ref="AI5:AM5"/>
  </mergeCells>
  <conditionalFormatting sqref="AM7:AM11">
    <cfRule type="dataBar" priority="3">
      <dataBar>
        <cfvo type="min"/>
        <cfvo type="num" val="DATEDIF(DATE(CalendárioAnual,2,1),DATE(CalendárioAnual,3,1),&quot;d&quot;)"/>
        <color theme="4"/>
      </dataBar>
      <extLst>
        <ext xmlns:x14="http://schemas.microsoft.com/office/spreadsheetml/2009/9/main" uri="{B025F937-C7B1-47D3-B67F-A62EFF666E3E}">
          <x14:id>{14404821-1BA2-401A-A36D-E7C5CA142FF7}</x14:id>
        </ext>
      </extLst>
    </cfRule>
  </conditionalFormatting>
  <conditionalFormatting sqref="D7:AF11">
    <cfRule type="expression" dxfId="626" priority="4" stopIfTrue="1">
      <formula>D7=Código2</formula>
    </cfRule>
  </conditionalFormatting>
  <conditionalFormatting sqref="D7:AF11">
    <cfRule type="expression" dxfId="625" priority="5" stopIfTrue="1">
      <formula>D7=Código5</formula>
    </cfRule>
    <cfRule type="expression" dxfId="624" priority="6" stopIfTrue="1">
      <formula>D7=Código4</formula>
    </cfRule>
    <cfRule type="expression" dxfId="623" priority="7" stopIfTrue="1">
      <formula>D7=Código3</formula>
    </cfRule>
    <cfRule type="expression" dxfId="622" priority="8" stopIfTrue="1">
      <formula>D7=Código1</formula>
    </cfRule>
  </conditionalFormatting>
  <dataValidations count="1">
    <dataValidation type="list" errorStyle="warning" allowBlank="1" showInputMessage="1" showErrorMessage="1" errorTitle="Ups!" error="O ID de Estudante que introduziu não está na folha da Lista de Estudantes. Pode clicar em Sim para usar os dados que introduziu, mas esse ID de Estudante não estará disponível na folha de Relatório de Presenças de Estudantes." sqref="B7:B11" xr:uid="{00000000-0002-0000-0700-000000000000}">
      <formula1>IDDeAluno</formula1>
    </dataValidation>
  </dataValidations>
  <printOptions horizontalCentered="1"/>
  <pageMargins left="0.5" right="0.5" top="0.75" bottom="0.75" header="0.3" footer="0.3"/>
  <pageSetup paperSize="9" scale="58" fitToHeight="0" orientation="landscape" verticalDpi="12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4404821-1BA2-401A-A36D-E7C5CA142FF7}">
            <x14:dataBar minLength="0" maxLength="100" border="1" negativeBarBorderColorSameAsPositive="0">
              <x14:cfvo type="autoMin"/>
              <x14:cfvo type="num">
                <xm:f>DATEDIF(DATE(CalendárioAnual,2,1),DATE(CalendárioAnual,3,1),"d")</xm:f>
              </x14:cfvo>
              <x14:borderColor theme="4"/>
              <x14:negativeFillColor rgb="FFFF0000"/>
              <x14:negativeBorderColor rgb="FFFF0000"/>
              <x14:axisColor rgb="FF000000"/>
            </x14:dataBar>
          </x14:cfRule>
          <xm:sqref>AM7:AM11</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499984740745262"/>
    <pageSetUpPr fitToPage="1"/>
  </sheetPr>
  <dimension ref="A1:AM264"/>
  <sheetViews>
    <sheetView showGridLines="0" zoomScaleNormal="100" workbookViewId="0">
      <pane xSplit="3" ySplit="6" topLeftCell="D7" activePane="bottomRight" state="frozen"/>
      <selection pane="topRight"/>
      <selection pane="bottomLeft"/>
      <selection pane="bottomRight"/>
    </sheetView>
  </sheetViews>
  <sheetFormatPr defaultRowHeight="15" customHeight="1" x14ac:dyDescent="0.25"/>
  <cols>
    <col min="1" max="1" width="2.7109375" style="11" customWidth="1"/>
    <col min="2" max="2" width="15.7109375" style="11" bestFit="1" customWidth="1"/>
    <col min="3" max="3" width="28.85546875" style="12" customWidth="1"/>
    <col min="4" max="34" width="5" style="10" customWidth="1"/>
    <col min="35" max="35" width="4.7109375" style="9" customWidth="1"/>
    <col min="36" max="36" width="4.7109375" style="10" customWidth="1"/>
    <col min="37" max="38" width="4.7109375" style="11" customWidth="1"/>
    <col min="39" max="39" width="16.85546875" style="11" bestFit="1" customWidth="1"/>
    <col min="40" max="16384" width="9.140625" style="11"/>
  </cols>
  <sheetData>
    <row r="1" spans="1:39" s="1" customFormat="1" ht="42" customHeight="1" x14ac:dyDescent="0.25">
      <c r="A1" s="110" t="s">
        <v>88</v>
      </c>
      <c r="B1" s="39"/>
      <c r="C1" s="39"/>
      <c r="D1" s="40"/>
      <c r="E1" s="40"/>
      <c r="F1" s="40"/>
      <c r="G1" s="40"/>
      <c r="H1" s="40"/>
      <c r="I1" s="40"/>
      <c r="J1" s="40"/>
      <c r="K1" s="40"/>
      <c r="L1" s="40"/>
      <c r="M1" s="40"/>
      <c r="N1" s="40"/>
      <c r="O1" s="40"/>
      <c r="P1" s="40"/>
      <c r="Q1" s="40"/>
      <c r="R1" s="40"/>
      <c r="S1" s="40"/>
      <c r="T1" s="40"/>
      <c r="U1" s="40"/>
      <c r="V1" s="40"/>
      <c r="W1" s="40"/>
      <c r="X1" s="40"/>
      <c r="Y1" s="40"/>
      <c r="Z1" s="40"/>
      <c r="AA1" s="40"/>
      <c r="AB1" s="40"/>
      <c r="AC1" s="39"/>
      <c r="AD1" s="39"/>
      <c r="AE1" s="39"/>
      <c r="AF1" s="39"/>
      <c r="AG1" s="41"/>
      <c r="AH1" s="39"/>
      <c r="AI1" s="39"/>
      <c r="AJ1" s="42"/>
      <c r="AK1" s="39"/>
      <c r="AL1" s="55" t="s">
        <v>71</v>
      </c>
      <c r="AM1" s="56">
        <f>CalendárioAnual</f>
        <v>2018</v>
      </c>
    </row>
    <row r="2" spans="1:39" customFormat="1" ht="13.5" x14ac:dyDescent="0.25"/>
    <row r="3" spans="1:39" s="30" customFormat="1" ht="12.75" customHeight="1" x14ac:dyDescent="0.25">
      <c r="C3" s="45" t="str">
        <f>TextoColorKey</f>
        <v xml:space="preserve">CHAVE DE CORES </v>
      </c>
      <c r="D3" s="49" t="str">
        <f>Código1</f>
        <v>T</v>
      </c>
      <c r="E3" s="64" t="str">
        <f>Código1Texto</f>
        <v>Atrasado</v>
      </c>
      <c r="F3" s="54"/>
      <c r="H3" s="50" t="str">
        <f>Código2</f>
        <v>E</v>
      </c>
      <c r="I3" s="54" t="str">
        <f>Código2Texto</f>
        <v>Justificado</v>
      </c>
      <c r="L3" s="51" t="str">
        <f>Código3</f>
        <v>U</v>
      </c>
      <c r="M3" s="54" t="str">
        <f>Código3Texto</f>
        <v>Não justificado</v>
      </c>
      <c r="P3" s="52" t="str">
        <f>Código4</f>
        <v>P</v>
      </c>
      <c r="Q3" s="54" t="str">
        <f>Código4Texto</f>
        <v>Presente</v>
      </c>
      <c r="T3" s="53" t="str">
        <f>Código5</f>
        <v>N</v>
      </c>
      <c r="U3" s="54" t="str">
        <f>Código5Texto</f>
        <v>Não há Escola</v>
      </c>
      <c r="W3"/>
      <c r="X3"/>
      <c r="Y3"/>
      <c r="AD3" s="29"/>
      <c r="AE3" s="29"/>
      <c r="AH3" s="31"/>
      <c r="AI3" s="32"/>
      <c r="AK3" s="33"/>
    </row>
    <row r="4" spans="1:39" customFormat="1" ht="16.5" customHeight="1" x14ac:dyDescent="0.25"/>
    <row r="5" spans="1:39" s="2" customFormat="1" ht="18" customHeight="1" x14ac:dyDescent="0.3">
      <c r="B5" s="58">
        <f>DATE(CalendárioAnual+1,2,1)</f>
        <v>43497</v>
      </c>
      <c r="C5" s="57"/>
      <c r="D5" s="43" t="str">
        <f>TEXT(WEEKDAY(DATE(CalendárioAnual+1,2,1),1),"ddd")</f>
        <v>sex</v>
      </c>
      <c r="E5" s="43" t="str">
        <f>TEXT(WEEKDAY(DATE(CalendárioAnual+1,2,2),1),"ddd")</f>
        <v>sáb</v>
      </c>
      <c r="F5" s="43" t="str">
        <f>TEXT(WEEKDAY(DATE(CalendárioAnual+1,2,3),1),"ddd")</f>
        <v>dom</v>
      </c>
      <c r="G5" s="43" t="str">
        <f>TEXT(WEEKDAY(DATE(CalendárioAnual+1,2,4),1),"ddd")</f>
        <v>seg</v>
      </c>
      <c r="H5" s="43" t="str">
        <f>TEXT(WEEKDAY(DATE(CalendárioAnual+1,2,5),1),"ddd")</f>
        <v>ter</v>
      </c>
      <c r="I5" s="43" t="str">
        <f>TEXT(WEEKDAY(DATE(CalendárioAnual+1,2,6),1),"ddd")</f>
        <v>qua</v>
      </c>
      <c r="J5" s="43" t="str">
        <f>TEXT(WEEKDAY(DATE(CalendárioAnual+1,2,7),1),"ddd")</f>
        <v>qui</v>
      </c>
      <c r="K5" s="43" t="str">
        <f>TEXT(WEEKDAY(DATE(CalendárioAnual+1,2,8),1),"ddd")</f>
        <v>sex</v>
      </c>
      <c r="L5" s="43" t="str">
        <f>TEXT(WEEKDAY(DATE(CalendárioAnual+1,2,9),1),"ddd")</f>
        <v>sáb</v>
      </c>
      <c r="M5" s="43" t="str">
        <f>TEXT(WEEKDAY(DATE(CalendárioAnual+1,2,10),1),"ddd")</f>
        <v>dom</v>
      </c>
      <c r="N5" s="43" t="str">
        <f>TEXT(WEEKDAY(DATE(CalendárioAnual+1,2,11),1),"ddd")</f>
        <v>seg</v>
      </c>
      <c r="O5" s="43" t="str">
        <f>TEXT(WEEKDAY(DATE(CalendárioAnual+1,2,12),1),"ddd")</f>
        <v>ter</v>
      </c>
      <c r="P5" s="43" t="str">
        <f>TEXT(WEEKDAY(DATE(CalendárioAnual+1,2,13),1),"ddd")</f>
        <v>qua</v>
      </c>
      <c r="Q5" s="43" t="str">
        <f>TEXT(WEEKDAY(DATE(CalendárioAnual+1,2,14),1),"ddd")</f>
        <v>qui</v>
      </c>
      <c r="R5" s="43" t="str">
        <f>TEXT(WEEKDAY(DATE(CalendárioAnual+1,2,15),1),"ddd")</f>
        <v>sex</v>
      </c>
      <c r="S5" s="43" t="str">
        <f>TEXT(WEEKDAY(DATE(CalendárioAnual+1,2,16),1),"ddd")</f>
        <v>sáb</v>
      </c>
      <c r="T5" s="43" t="str">
        <f>TEXT(WEEKDAY(DATE(CalendárioAnual+1,2,17),1),"ddd")</f>
        <v>dom</v>
      </c>
      <c r="U5" s="43" t="str">
        <f>TEXT(WEEKDAY(DATE(CalendárioAnual+1,2,18),1),"ddd")</f>
        <v>seg</v>
      </c>
      <c r="V5" s="43" t="str">
        <f>TEXT(WEEKDAY(DATE(CalendárioAnual+1,2,19),1),"ddd")</f>
        <v>ter</v>
      </c>
      <c r="W5" s="43" t="str">
        <f>TEXT(WEEKDAY(DATE(CalendárioAnual+1,2,20),1),"ddd")</f>
        <v>qua</v>
      </c>
      <c r="X5" s="43" t="str">
        <f>TEXT(WEEKDAY(DATE(CalendárioAnual+1,2,21),1),"ddd")</f>
        <v>qui</v>
      </c>
      <c r="Y5" s="43" t="str">
        <f>TEXT(WEEKDAY(DATE(CalendárioAnual+1,2,22),1),"ddd")</f>
        <v>sex</v>
      </c>
      <c r="Z5" s="43" t="str">
        <f>TEXT(WEEKDAY(DATE(CalendárioAnual+1,2,23),1),"ddd")</f>
        <v>sáb</v>
      </c>
      <c r="AA5" s="43" t="str">
        <f>TEXT(WEEKDAY(DATE(CalendárioAnual+1,2,24),1),"ddd")</f>
        <v>dom</v>
      </c>
      <c r="AB5" s="43" t="str">
        <f>TEXT(WEEKDAY(DATE(CalendárioAnual+1,2,25),1),"ddd")</f>
        <v>seg</v>
      </c>
      <c r="AC5" s="43" t="str">
        <f>TEXT(WEEKDAY(DATE(CalendárioAnual+1,2,26),1),"ddd")</f>
        <v>ter</v>
      </c>
      <c r="AD5" s="43" t="str">
        <f>TEXT(WEEKDAY(DATE(CalendárioAnual+1,2,27),1),"ddd")</f>
        <v>qua</v>
      </c>
      <c r="AE5" s="43" t="str">
        <f>TEXT(WEEKDAY(DATE(CalendárioAnual+1,2,28),1),"ddd")</f>
        <v>qui</v>
      </c>
      <c r="AF5" s="43" t="str">
        <f>TEXT(WEEKDAY(DATE(CalendárioAnual+1,2,29),1),"ddd")</f>
        <v>sex</v>
      </c>
      <c r="AG5" s="43"/>
      <c r="AH5" s="43"/>
      <c r="AI5" s="119" t="s">
        <v>40</v>
      </c>
      <c r="AJ5" s="119"/>
      <c r="AK5" s="119"/>
      <c r="AL5" s="119"/>
      <c r="AM5" s="119"/>
    </row>
    <row r="6" spans="1:39" ht="14.25" customHeight="1" x14ac:dyDescent="0.25">
      <c r="B6" s="26" t="s">
        <v>34</v>
      </c>
      <c r="C6" s="27" t="s">
        <v>35</v>
      </c>
      <c r="D6" s="28" t="s">
        <v>0</v>
      </c>
      <c r="E6" s="28" t="s">
        <v>1</v>
      </c>
      <c r="F6" s="28" t="s">
        <v>2</v>
      </c>
      <c r="G6" s="28" t="s">
        <v>3</v>
      </c>
      <c r="H6" s="28" t="s">
        <v>4</v>
      </c>
      <c r="I6" s="28" t="s">
        <v>5</v>
      </c>
      <c r="J6" s="28" t="s">
        <v>6</v>
      </c>
      <c r="K6" s="28" t="s">
        <v>7</v>
      </c>
      <c r="L6" s="28" t="s">
        <v>8</v>
      </c>
      <c r="M6" s="28" t="s">
        <v>9</v>
      </c>
      <c r="N6" s="28" t="s">
        <v>10</v>
      </c>
      <c r="O6" s="28" t="s">
        <v>11</v>
      </c>
      <c r="P6" s="28" t="s">
        <v>12</v>
      </c>
      <c r="Q6" s="28" t="s">
        <v>13</v>
      </c>
      <c r="R6" s="28" t="s">
        <v>14</v>
      </c>
      <c r="S6" s="28" t="s">
        <v>15</v>
      </c>
      <c r="T6" s="28" t="s">
        <v>16</v>
      </c>
      <c r="U6" s="28" t="s">
        <v>17</v>
      </c>
      <c r="V6" s="28" t="s">
        <v>18</v>
      </c>
      <c r="W6" s="28" t="s">
        <v>19</v>
      </c>
      <c r="X6" s="28" t="s">
        <v>20</v>
      </c>
      <c r="Y6" s="28" t="s">
        <v>21</v>
      </c>
      <c r="Z6" s="28" t="s">
        <v>22</v>
      </c>
      <c r="AA6" s="28" t="s">
        <v>23</v>
      </c>
      <c r="AB6" s="28" t="s">
        <v>24</v>
      </c>
      <c r="AC6" s="28" t="s">
        <v>25</v>
      </c>
      <c r="AD6" s="28" t="s">
        <v>26</v>
      </c>
      <c r="AE6" s="28" t="s">
        <v>27</v>
      </c>
      <c r="AF6" s="28" t="s">
        <v>28</v>
      </c>
      <c r="AG6" s="28" t="s">
        <v>29</v>
      </c>
      <c r="AH6" s="28" t="s">
        <v>30</v>
      </c>
      <c r="AI6" s="68" t="s">
        <v>36</v>
      </c>
      <c r="AJ6" s="37" t="s">
        <v>38</v>
      </c>
      <c r="AK6" s="36" t="s">
        <v>37</v>
      </c>
      <c r="AL6" s="34" t="s">
        <v>31</v>
      </c>
      <c r="AM6" t="s">
        <v>39</v>
      </c>
    </row>
    <row r="7" spans="1:39" ht="16.5" customHeight="1" x14ac:dyDescent="0.25">
      <c r="B7" s="25"/>
      <c r="C7" s="20" t="str">
        <f>IFERROR(VLOOKUP(PresençasEmFevereiro[[#This Row],[ID de Estudante]],ListaDeAlunos[],18,FALSE),"")</f>
        <v/>
      </c>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4"/>
      <c r="AG7" s="3"/>
      <c r="AH7" s="3"/>
      <c r="AI7" s="35">
        <f>COUNTIF(PresençasEmFevereiro[[#This Row],[1]:[31]],Código1)</f>
        <v>0</v>
      </c>
      <c r="AJ7" s="35">
        <f>COUNTIF(PresençasEmFevereiro[[#This Row],[1]:[31]],Código2)</f>
        <v>0</v>
      </c>
      <c r="AK7" s="35">
        <f>COUNTIF(PresençasEmFevereiro[[#This Row],[1]:[31]],Código3)</f>
        <v>0</v>
      </c>
      <c r="AL7" s="35">
        <f>COUNTIF(PresençasEmFevereiro[[#This Row],[1]:[31]],Código4)</f>
        <v>0</v>
      </c>
      <c r="AM7" s="7">
        <f>SUM(PresençasEmFevereiro[[#This Row],[E]:[U]])</f>
        <v>0</v>
      </c>
    </row>
    <row r="8" spans="1:39" ht="16.5" customHeight="1" x14ac:dyDescent="0.25">
      <c r="B8" s="25"/>
      <c r="C8" s="21" t="str">
        <f>IFERROR(VLOOKUP(PresençasEmFevereiro[[#This Row],[ID de Estudante]],ListaDeAlunos[],18,FALSE),"")</f>
        <v/>
      </c>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4"/>
      <c r="AG8" s="3"/>
      <c r="AH8" s="3"/>
      <c r="AI8" s="35">
        <f>COUNTIF(PresençasEmFevereiro[[#This Row],[1]:[31]],Código1)</f>
        <v>0</v>
      </c>
      <c r="AJ8" s="35">
        <f>COUNTIF(PresençasEmFevereiro[[#This Row],[1]:[31]],Código2)</f>
        <v>0</v>
      </c>
      <c r="AK8" s="35">
        <f>COUNTIF(PresençasEmFevereiro[[#This Row],[1]:[31]],Código3)</f>
        <v>0</v>
      </c>
      <c r="AL8" s="35">
        <f>COUNTIF(PresençasEmFevereiro[[#This Row],[1]:[31]],Código4)</f>
        <v>0</v>
      </c>
      <c r="AM8" s="7">
        <f>SUM(PresençasEmFevereiro[[#This Row],[E]:[U]])</f>
        <v>0</v>
      </c>
    </row>
    <row r="9" spans="1:39" ht="16.5" customHeight="1" x14ac:dyDescent="0.25">
      <c r="B9" s="25"/>
      <c r="C9" s="21" t="str">
        <f>IFERROR(VLOOKUP(PresençasEmFevereiro[[#This Row],[ID de Estudante]],ListaDeAlunos[],18,FALSE),"")</f>
        <v/>
      </c>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4"/>
      <c r="AG9" s="3"/>
      <c r="AH9" s="3"/>
      <c r="AI9" s="35">
        <f>COUNTIF(PresençasEmFevereiro[[#This Row],[1]:[31]],Código1)</f>
        <v>0</v>
      </c>
      <c r="AJ9" s="35">
        <f>COUNTIF(PresençasEmFevereiro[[#This Row],[1]:[31]],Código2)</f>
        <v>0</v>
      </c>
      <c r="AK9" s="35">
        <f>COUNTIF(PresençasEmFevereiro[[#This Row],[1]:[31]],Código3)</f>
        <v>0</v>
      </c>
      <c r="AL9" s="35">
        <f>COUNTIF(PresençasEmFevereiro[[#This Row],[1]:[31]],Código4)</f>
        <v>0</v>
      </c>
      <c r="AM9" s="7">
        <f>SUM(PresençasEmFevereiro[[#This Row],[E]:[U]])</f>
        <v>0</v>
      </c>
    </row>
    <row r="10" spans="1:39" ht="16.5" customHeight="1" x14ac:dyDescent="0.25">
      <c r="B10" s="25"/>
      <c r="C10" s="21" t="str">
        <f>IFERROR(VLOOKUP(PresençasEmFevereiro[[#This Row],[ID de Estudante]],ListaDeAlunos[],18,FALSE),"")</f>
        <v/>
      </c>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4"/>
      <c r="AG10" s="3"/>
      <c r="AH10" s="3"/>
      <c r="AI10" s="35">
        <f>COUNTIF(PresençasEmFevereiro[[#This Row],[1]:[31]],Código1)</f>
        <v>0</v>
      </c>
      <c r="AJ10" s="35">
        <f>COUNTIF(PresençasEmFevereiro[[#This Row],[1]:[31]],Código2)</f>
        <v>0</v>
      </c>
      <c r="AK10" s="35">
        <f>COUNTIF(PresençasEmFevereiro[[#This Row],[1]:[31]],Código3)</f>
        <v>0</v>
      </c>
      <c r="AL10" s="35">
        <f>COUNTIF(PresençasEmFevereiro[[#This Row],[1]:[31]],Código4)</f>
        <v>0</v>
      </c>
      <c r="AM10" s="7">
        <f>SUM(PresençasEmFevereiro[[#This Row],[E]:[U]])</f>
        <v>0</v>
      </c>
    </row>
    <row r="11" spans="1:39" ht="16.5" customHeight="1" x14ac:dyDescent="0.25">
      <c r="B11" s="25"/>
      <c r="C11" s="21" t="str">
        <f>IFERROR(VLOOKUP(PresençasEmFevereiro[[#This Row],[ID de Estudante]],ListaDeAlunos[],18,FALSE),"")</f>
        <v/>
      </c>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4"/>
      <c r="AG11" s="3"/>
      <c r="AH11" s="3"/>
      <c r="AI11" s="35">
        <f>COUNTIF(PresençasEmFevereiro[[#This Row],[1]:[31]],Código1)</f>
        <v>0</v>
      </c>
      <c r="AJ11" s="35">
        <f>COUNTIF(PresençasEmFevereiro[[#This Row],[1]:[31]],Código2)</f>
        <v>0</v>
      </c>
      <c r="AK11" s="35">
        <f>COUNTIF(PresençasEmFevereiro[[#This Row],[1]:[31]],Código3)</f>
        <v>0</v>
      </c>
      <c r="AL11" s="35">
        <f>COUNTIF(PresençasEmFevereiro[[#This Row],[1]:[31]],Código4)</f>
        <v>0</v>
      </c>
      <c r="AM11" s="7">
        <f>SUM(PresençasEmFevereiro[[#This Row],[E]:[U]])</f>
        <v>0</v>
      </c>
    </row>
    <row r="12" spans="1:39" ht="16.5" customHeight="1" x14ac:dyDescent="0.25">
      <c r="B12" s="106"/>
      <c r="C12" s="107" t="s">
        <v>113</v>
      </c>
      <c r="D12" s="108">
        <f>COUNTIF(PresençasEmFevereiro[1],"U")+COUNTIF(PresençasEmFevereiro[1],"E")</f>
        <v>0</v>
      </c>
      <c r="E12" s="108">
        <f>COUNTIF(PresençasEmFevereiro[2],"U")+COUNTIF(PresençasEmFevereiro[2],"E")</f>
        <v>0</v>
      </c>
      <c r="F12" s="108">
        <f>COUNTIF(PresençasEmFevereiro[3],"U")+COUNTIF(PresençasEmFevereiro[3],"E")</f>
        <v>0</v>
      </c>
      <c r="G12" s="108">
        <f>COUNTIF(PresençasEmFevereiro[4],"U")+COUNTIF(PresençasEmFevereiro[4],"E")</f>
        <v>0</v>
      </c>
      <c r="H12" s="108">
        <f>COUNTIF(PresençasEmFevereiro[5],"U")+COUNTIF(PresençasEmFevereiro[5],"E")</f>
        <v>0</v>
      </c>
      <c r="I12" s="108">
        <f>COUNTIF(PresençasEmFevereiro[6],"U")+COUNTIF(PresençasEmFevereiro[6],"E")</f>
        <v>0</v>
      </c>
      <c r="J12" s="108">
        <f>COUNTIF(PresençasEmFevereiro[7],"U")+COUNTIF(PresençasEmFevereiro[7],"E")</f>
        <v>0</v>
      </c>
      <c r="K12" s="108">
        <f>COUNTIF(PresençasEmFevereiro[8],"U")+COUNTIF(PresençasEmFevereiro[8],"E")</f>
        <v>0</v>
      </c>
      <c r="L12" s="108">
        <f>COUNTIF(PresençasEmFevereiro[9],"U")+COUNTIF(PresençasEmFevereiro[9],"E")</f>
        <v>0</v>
      </c>
      <c r="M12" s="108">
        <f>COUNTIF(PresençasEmFevereiro[10],"U")+COUNTIF(PresençasEmFevereiro[10],"E")</f>
        <v>0</v>
      </c>
      <c r="N12" s="108">
        <f>COUNTIF(PresençasEmFevereiro[11],"U")+COUNTIF(PresençasEmFevereiro[11],"E")</f>
        <v>0</v>
      </c>
      <c r="O12" s="108">
        <f>COUNTIF(PresençasEmFevereiro[12],"U")+COUNTIF(PresençasEmFevereiro[12],"E")</f>
        <v>0</v>
      </c>
      <c r="P12" s="108">
        <f>COUNTIF(PresençasEmFevereiro[13],"U")+COUNTIF(PresençasEmFevereiro[13],"E")</f>
        <v>0</v>
      </c>
      <c r="Q12" s="108">
        <f>COUNTIF(PresençasEmFevereiro[14],"U")+COUNTIF(PresençasEmFevereiro[14],"E")</f>
        <v>0</v>
      </c>
      <c r="R12" s="108">
        <f>COUNTIF(PresençasEmFevereiro[15],"U")+COUNTIF(PresençasEmFevereiro[15],"E")</f>
        <v>0</v>
      </c>
      <c r="S12" s="108">
        <f>COUNTIF(PresençasEmFevereiro[16],"U")+COUNTIF(PresençasEmFevereiro[16],"E")</f>
        <v>0</v>
      </c>
      <c r="T12" s="108">
        <f>COUNTIF(PresençasEmFevereiro[17],"U")+COUNTIF(PresençasEmFevereiro[17],"E")</f>
        <v>0</v>
      </c>
      <c r="U12" s="108">
        <f>COUNTIF(PresençasEmFevereiro[18],"U")+COUNTIF(PresençasEmFevereiro[18],"E")</f>
        <v>0</v>
      </c>
      <c r="V12" s="108">
        <f>COUNTIF(PresençasEmFevereiro[19],"U")+COUNTIF(PresençasEmFevereiro[19],"E")</f>
        <v>0</v>
      </c>
      <c r="W12" s="108">
        <f>COUNTIF(PresençasEmFevereiro[20],"U")+COUNTIF(PresençasEmFevereiro[20],"E")</f>
        <v>0</v>
      </c>
      <c r="X12" s="108">
        <f>COUNTIF(PresençasEmFevereiro[21],"U")+COUNTIF(PresençasEmFevereiro[21],"E")</f>
        <v>0</v>
      </c>
      <c r="Y12" s="108">
        <f>COUNTIF(PresençasEmFevereiro[22],"U")+COUNTIF(PresençasEmFevereiro[22],"E")</f>
        <v>0</v>
      </c>
      <c r="Z12" s="108">
        <f>COUNTIF(PresençasEmFevereiro[23],"U")+COUNTIF(PresençasEmFevereiro[23],"E")</f>
        <v>0</v>
      </c>
      <c r="AA12" s="108">
        <f>COUNTIF(PresençasEmFevereiro[24],"U")+COUNTIF(PresençasEmFevereiro[24],"E")</f>
        <v>0</v>
      </c>
      <c r="AB12" s="108">
        <f>COUNTIF(PresençasEmFevereiro[25],"U")+COUNTIF(PresençasEmFevereiro[25],"E")</f>
        <v>0</v>
      </c>
      <c r="AC12" s="108">
        <f>COUNTIF(PresençasEmFevereiro[26],"U")+COUNTIF(PresençasEmFevereiro[26],"E")</f>
        <v>0</v>
      </c>
      <c r="AD12" s="108">
        <f>COUNTIF(PresençasEmFevereiro[27],"U")+COUNTIF(PresençasEmFevereiro[27],"E")</f>
        <v>0</v>
      </c>
      <c r="AE12" s="108">
        <f>COUNTIF(PresençasEmFevereiro[28],"U")+COUNTIF(PresençasEmFevereiro[28],"E")</f>
        <v>0</v>
      </c>
      <c r="AF12" s="108">
        <f>COUNTIF(PresençasEmFevereiro[29],"U")+COUNTIF(PresençasEmFevereiro[29],"E")</f>
        <v>0</v>
      </c>
      <c r="AG12" s="108"/>
      <c r="AH12" s="108"/>
      <c r="AI12" s="108">
        <f>SUBTOTAL(109,PresençasEmFevereiro[T])</f>
        <v>0</v>
      </c>
      <c r="AJ12" s="108">
        <f>SUBTOTAL(109,PresençasEmFevereiro[E])</f>
        <v>0</v>
      </c>
      <c r="AK12" s="108">
        <f>SUBTOTAL(109,PresençasEmFevereiro[U])</f>
        <v>0</v>
      </c>
      <c r="AL12" s="108">
        <f>SUBTOTAL(109,PresençasEmFevereiro[P])</f>
        <v>0</v>
      </c>
      <c r="AM12" s="108">
        <f>SUBTOTAL(109,PresençasEmFevereiro[Dias de Ausência])</f>
        <v>0</v>
      </c>
    </row>
    <row r="13" spans="1:39" ht="16.5" customHeight="1" x14ac:dyDescent="0.25"/>
    <row r="14" spans="1:39" ht="16.5" customHeight="1" x14ac:dyDescent="0.25"/>
    <row r="15" spans="1:39" ht="16.5" customHeight="1" x14ac:dyDescent="0.25"/>
    <row r="16" spans="1:39"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sheetData>
  <sheetProtection formatCells="0" formatColumns="0" formatRows="0" insertColumns="0" insertRows="0" insertHyperlinks="0" deleteColumns="0" deleteRows="0" sort="0" autoFilter="0" pivotTables="0"/>
  <mergeCells count="1">
    <mergeCell ref="AI5:AM5"/>
  </mergeCells>
  <conditionalFormatting sqref="AM7:AM11">
    <cfRule type="dataBar" priority="3">
      <dataBar>
        <cfvo type="min"/>
        <cfvo type="num" val="DATEDIF(DATE(CalendárioAnual,2,1),DATE(CalendárioAnual,3,1),&quot;d&quot;)"/>
        <color theme="4"/>
      </dataBar>
      <extLst>
        <ext xmlns:x14="http://schemas.microsoft.com/office/spreadsheetml/2009/9/main" uri="{B025F937-C7B1-47D3-B67F-A62EFF666E3E}">
          <x14:id>{AB18F5F5-27F6-438D-8C1C-359FFE3EF7E4}</x14:id>
        </ext>
      </extLst>
    </cfRule>
  </conditionalFormatting>
  <conditionalFormatting sqref="AF5:AH5">
    <cfRule type="expression" dxfId="543" priority="2">
      <formula>DATE(CalendárioAnual+1,2,AF6)&gt;EOMONTH(DATE(CalendárioAnual+1,1,1),1)</formula>
    </cfRule>
  </conditionalFormatting>
  <conditionalFormatting sqref="D7:AF11">
    <cfRule type="expression" dxfId="542" priority="5" stopIfTrue="1">
      <formula>D7=Código2</formula>
    </cfRule>
  </conditionalFormatting>
  <conditionalFormatting sqref="D7:AF11">
    <cfRule type="expression" dxfId="541" priority="6" stopIfTrue="1">
      <formula>D7=Código5</formula>
    </cfRule>
    <cfRule type="expression" dxfId="540" priority="7" stopIfTrue="1">
      <formula>D7=Código4</formula>
    </cfRule>
    <cfRule type="expression" dxfId="539" priority="8" stopIfTrue="1">
      <formula>D7=Código3</formula>
    </cfRule>
    <cfRule type="expression" dxfId="538" priority="9" stopIfTrue="1">
      <formula>D7=Código1</formula>
    </cfRule>
  </conditionalFormatting>
  <conditionalFormatting sqref="AF6:AH6">
    <cfRule type="expression" dxfId="537" priority="1">
      <formula>DATE(CalendárioAnual+1,2,AF6)&gt;EOMONTH(DATE(CalendárioAnual+1,1,1),1)</formula>
    </cfRule>
  </conditionalFormatting>
  <dataValidations count="1">
    <dataValidation type="list" errorStyle="warning" allowBlank="1" showInputMessage="1" showErrorMessage="1" errorTitle="Ups!" error="O ID de Estudante que introduziu não está na folha da Lista de Estudantes. Pode clicar em Sim para usar os dados que introduziu, mas esse ID de Estudante não estará disponível na folha de Relatório de Presenças de Estudantes." sqref="B7:B11" xr:uid="{00000000-0002-0000-0800-000000000000}">
      <formula1>IDDeAluno</formula1>
    </dataValidation>
  </dataValidations>
  <printOptions horizontalCentered="1"/>
  <pageMargins left="0.5" right="0.5" top="0.75" bottom="0.75" header="0.3" footer="0.3"/>
  <pageSetup paperSize="9" scale="58" fitToHeight="0" orientation="landscape" verticalDpi="1200" r:id="rId1"/>
  <legacy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AB18F5F5-27F6-438D-8C1C-359FFE3EF7E4}">
            <x14:dataBar minLength="0" maxLength="100" border="1" negativeBarBorderColorSameAsPositive="0">
              <x14:cfvo type="autoMin"/>
              <x14:cfvo type="num">
                <xm:f>DATEDIF(DATE(CalendárioAnual,2,1),DATE(CalendárioAnual,3,1),"d")</xm:f>
              </x14:cfvo>
              <x14:borderColor theme="4"/>
              <x14:negativeFillColor rgb="FFFF0000"/>
              <x14:negativeBorderColor rgb="FFFF0000"/>
              <x14:axisColor rgb="FF000000"/>
            </x14:dataBar>
          </x14:cfRule>
          <xm:sqref>AM7:AM11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06CD18CD-13F4-472B-B1AB-DDBE2AC449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15</vt:i4>
      </vt:variant>
      <vt:variant>
        <vt:lpstr>Intervalos com Nome</vt:lpstr>
      </vt:variant>
      <vt:variant>
        <vt:i4>16</vt:i4>
      </vt:variant>
    </vt:vector>
  </HeadingPairs>
  <TitlesOfParts>
    <vt:vector size="31" baseType="lpstr">
      <vt:lpstr>Como usar este modelo</vt:lpstr>
      <vt:lpstr>Lista de Estudantes</vt:lpstr>
      <vt:lpstr>dezembro</vt:lpstr>
      <vt:lpstr>agosto</vt:lpstr>
      <vt:lpstr>setembro</vt:lpstr>
      <vt:lpstr>outubro</vt:lpstr>
      <vt:lpstr>novembro</vt:lpstr>
      <vt:lpstr>janeiro</vt:lpstr>
      <vt:lpstr>fevereiro</vt:lpstr>
      <vt:lpstr>março</vt:lpstr>
      <vt:lpstr>abril</vt:lpstr>
      <vt:lpstr>maio</vt:lpstr>
      <vt:lpstr>junho</vt:lpstr>
      <vt:lpstr>julho</vt:lpstr>
      <vt:lpstr>Rel. de Presenças do Estudante</vt:lpstr>
      <vt:lpstr>CalendárioAnual</vt:lpstr>
      <vt:lpstr>Código1</vt:lpstr>
      <vt:lpstr>Código1Texto</vt:lpstr>
      <vt:lpstr>Código2</vt:lpstr>
      <vt:lpstr>Código2Texto</vt:lpstr>
      <vt:lpstr>Código3</vt:lpstr>
      <vt:lpstr>Código3Texto</vt:lpstr>
      <vt:lpstr>Código4</vt:lpstr>
      <vt:lpstr>Código4Texto</vt:lpstr>
      <vt:lpstr>Código5</vt:lpstr>
      <vt:lpstr>Código5Texto</vt:lpstr>
      <vt:lpstr>IDDeAluno</vt:lpstr>
      <vt:lpstr>'Lista de Estudantes'!Imprimir_Títulos</vt:lpstr>
      <vt:lpstr>NomeDoAluno</vt:lpstr>
      <vt:lpstr>ProcurarAluno</vt:lpstr>
      <vt:lpstr>TextoColorKey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 Faria</dc:creator>
  <cp:keywords/>
  <cp:lastModifiedBy>Pedro Faria</cp:lastModifiedBy>
  <dcterms:modified xsi:type="dcterms:W3CDTF">2019-04-08T17:59:42Z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TC028023699991</vt:lpwstr>
  </property>
</Properties>
</file>